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<sst xmlns="http://schemas.openxmlformats.org/spreadsheetml/2006/main" uniqueCount="4099">
  <si>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</si>
  <si>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</si>
  <si>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</si>
  <si>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</si>
  <si>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</si>
  <si>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</si>
  <si>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</si>
  <si>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</si>
  <si>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</si>
  <si>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</si>
  <si>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Полипропиленовая система</t>
  </si>
  <si>
    <t>Трубы полипропиленовые</t>
  </si>
  <si>
    <t>Трубы полипропиленовые TEBO</t>
  </si>
  <si>
    <t>ALT-110105</t>
  </si>
  <si>
    <t>PPR TEBO Труба 20х1,9 SDR11  (4/100м)</t>
  </si>
  <si>
    <t>51.66 руб.</t>
  </si>
  <si>
    <t>пог</t>
  </si>
  <si>
    <t>ALT-110106</t>
  </si>
  <si>
    <t>PPR TEBO Труба 25х2,3 SDR11  (4/80м)</t>
  </si>
  <si>
    <t>79.30 руб.</t>
  </si>
  <si>
    <t>ALT-110107</t>
  </si>
  <si>
    <t>PPR TEBO Труба 32х2,9 SDR11  (4/40м)</t>
  </si>
  <si>
    <t>132.08 руб.</t>
  </si>
  <si>
    <t>ALT-110108</t>
  </si>
  <si>
    <t>PPR TEBO Труба 40х3,7 SDR11  (4/20м)</t>
  </si>
  <si>
    <t>205.23 руб.</t>
  </si>
  <si>
    <t>ALT-110109</t>
  </si>
  <si>
    <t>PPR TEBO Труба 50х4,6 SDR11  (4/20м)</t>
  </si>
  <si>
    <t>326.72 руб.</t>
  </si>
  <si>
    <t>ALT-110110</t>
  </si>
  <si>
    <t>PPR TEBO Труба 63х5,8 SDR11  (4/12м)</t>
  </si>
  <si>
    <t>505.21 руб.</t>
  </si>
  <si>
    <t>ALT-110111</t>
  </si>
  <si>
    <t>PPR TEBO Труба 75х6,8 SDR11  (4/8м)</t>
  </si>
  <si>
    <t>651.56 руб.</t>
  </si>
  <si>
    <t>ALT-110112</t>
  </si>
  <si>
    <t>PPR TEBO Труба 90х8,2 SDR11  (4/8м)</t>
  </si>
  <si>
    <t>971.08 руб.</t>
  </si>
  <si>
    <t>ALT-110113</t>
  </si>
  <si>
    <t>PPR TEBO Труба 110х10,0 SDR11  (4/4м)</t>
  </si>
  <si>
    <t>1 468.74 руб.</t>
  </si>
  <si>
    <t>ALT-110114</t>
  </si>
  <si>
    <t>PPR TEBO Труба 125х11,4 SDR11  (4/4м)</t>
  </si>
  <si>
    <t>2 109.66 руб.</t>
  </si>
  <si>
    <t>ALT-110115</t>
  </si>
  <si>
    <t>PPR TEBO Труба 160х14,6 SDR11  (4/4м)</t>
  </si>
  <si>
    <t>3 463.58 руб.</t>
  </si>
  <si>
    <t>ALT-110116</t>
  </si>
  <si>
    <t>PPR TEBO Труба 20х1,9 SDR11 (2м)  (2/50м)</t>
  </si>
  <si>
    <t>ALT-110117</t>
  </si>
  <si>
    <t>PPR TEBO Труба 25х2,3 SDR11 (2м)  (2/40м)</t>
  </si>
  <si>
    <t>ALT-110118</t>
  </si>
  <si>
    <t>PPR TEBO Труба 32х2,9 SDR11 (2м)  (2/20м)</t>
  </si>
  <si>
    <t>ALT-110119</t>
  </si>
  <si>
    <t>PPR TEBO Труба 40х3,7 SDR11 (2м)  (2/10м)</t>
  </si>
  <si>
    <t>ALT-110120</t>
  </si>
  <si>
    <t>PPR TEBO Труба 20х3,4 SDR6 Pn20 (4/100м)</t>
  </si>
  <si>
    <t>68.40 руб.</t>
  </si>
  <si>
    <t>&gt;100</t>
  </si>
  <si>
    <t>ALT-110121</t>
  </si>
  <si>
    <t>PPR TEBO Труба 25х4,2 SDR6 Pn20  (4/80м)</t>
  </si>
  <si>
    <t>113.13 руб.</t>
  </si>
  <si>
    <t>ALT-110122</t>
  </si>
  <si>
    <t>PPR TEBO Труба 32х5,4 SDR6 Pn20  (4/40м)</t>
  </si>
  <si>
    <t>189.00 руб.</t>
  </si>
  <si>
    <t>ALT-110123</t>
  </si>
  <si>
    <t>PPR TEBO Труба 40х6,7 SDR6 Pn20  (4/20м)</t>
  </si>
  <si>
    <t>292.42 руб.</t>
  </si>
  <si>
    <t>ALT-110124</t>
  </si>
  <si>
    <t>PPR TEBO Труба 50х8,3 SDR6 Pn20  (4/20м)</t>
  </si>
  <si>
    <t>480.24 руб.</t>
  </si>
  <si>
    <t>ALT-110125</t>
  </si>
  <si>
    <t>PPR TEBO Труба 63х10,5 SDR6 Pn20  (4/12м)</t>
  </si>
  <si>
    <t>759.73 руб.</t>
  </si>
  <si>
    <t>&gt;50</t>
  </si>
  <si>
    <t>ALT-110126</t>
  </si>
  <si>
    <t>PPR TEBO Труба 75х12,5 SDR6 Pn20  (4/8м)</t>
  </si>
  <si>
    <t>1 036.75 руб.</t>
  </si>
  <si>
    <t>ALT-110127</t>
  </si>
  <si>
    <t>PPR TEBO Труба 90х15,0 SDR6 Pn20  (4/8м)</t>
  </si>
  <si>
    <t>1 513.92 руб.</t>
  </si>
  <si>
    <t>ALT-110128</t>
  </si>
  <si>
    <t>PPR TEBO Труба 110х18,3 SDR6 Pn20  (4/4м)</t>
  </si>
  <si>
    <t>2 234.35 руб.</t>
  </si>
  <si>
    <t>ALT-110129</t>
  </si>
  <si>
    <t>PPR TEBO Труба 125х20,8 SDR6 Pn20  (4/4м)</t>
  </si>
  <si>
    <t>3 413.73 руб.</t>
  </si>
  <si>
    <t>ALT-110130</t>
  </si>
  <si>
    <t>PPR TEBO Труба 160х26,6 SDR6 Pn20  (4/4м)</t>
  </si>
  <si>
    <t>5 643.48 руб.</t>
  </si>
  <si>
    <t>ALT-110131</t>
  </si>
  <si>
    <t>PPR TEBO Труба 20х3,4 SDR6 Pn20 (2м)  (2/50м)</t>
  </si>
  <si>
    <t>ALT-110132</t>
  </si>
  <si>
    <t>PPR TEBO Труба 25х4,2 SDR6 Pn20 (2м)  (2/40м)</t>
  </si>
  <si>
    <t>ALT-110133</t>
  </si>
  <si>
    <t>PPR TEBO Труба 32х5,4 SDR6 Pn20 (2м)  (2/20м)</t>
  </si>
  <si>
    <t>ALT-110134</t>
  </si>
  <si>
    <t>PPR TEBO Труба 40х6,7 SDR6 Pn20 (2м)  (2/10м)</t>
  </si>
  <si>
    <t>ALT-110144</t>
  </si>
  <si>
    <t>PPR TEBO Труба 20х3,4 SDR6 Pn25 (центр. арм. АЛЮМИНИЙ)  (4/80м)</t>
  </si>
  <si>
    <t>110.92 руб.</t>
  </si>
  <si>
    <t>ALT-110145</t>
  </si>
  <si>
    <t>PPR TEBO Труба 25х4,2 SDR6 Pn25 (центр. арм. АЛЮМИНИЙ)  (4/60м)</t>
  </si>
  <si>
    <t>160.38 руб.</t>
  </si>
  <si>
    <t>ALT-110146</t>
  </si>
  <si>
    <t>PPR TEBO Труба 32х5,4 SDR6 Pn25 (центр. арм. АЛЮМИНИЙ)  (4/40м)</t>
  </si>
  <si>
    <t>278.00 руб.</t>
  </si>
  <si>
    <t>ALT-110147</t>
  </si>
  <si>
    <t>PPR TEBO Труба 40х6,7 SDR6 Pn25 (центр. арм. АЛЮМИНИЙ)  (4/20м)</t>
  </si>
  <si>
    <t>423.58 руб.</t>
  </si>
  <si>
    <t>ALT-110148</t>
  </si>
  <si>
    <t>PPR TEBO Труба 50х8,3 SDR6 Pn25 (центр. арм. АЛЮМИНИЙ)  (4/20м)</t>
  </si>
  <si>
    <t>678.99 руб.</t>
  </si>
  <si>
    <t>ALT-110149</t>
  </si>
  <si>
    <t>PPR TEBO Труба 63х10,5 SDR6 Pn25 (центр. арм. АЛЮМИНИЙ)  (4/12м)</t>
  </si>
  <si>
    <t>1 043.11 руб.</t>
  </si>
  <si>
    <t>ALT-110150</t>
  </si>
  <si>
    <t>PPR TEBO Труба 75х12,5 PN20 Pn25 (центр. арм. АЛЮМИНИЙ)  (4/8м)</t>
  </si>
  <si>
    <t>2 552.78 руб.</t>
  </si>
  <si>
    <t>ALT-110151</t>
  </si>
  <si>
    <t>PPR TEBO Труба 90х15,0 PN20 Pn25 (центр. арм. АЛЮМИНИЙ)  (4/8м)</t>
  </si>
  <si>
    <t>4 494.04 руб.</t>
  </si>
  <si>
    <t>ALT-110152</t>
  </si>
  <si>
    <t>PPR TEBO Труба 110х18,3 PN20 Pn25 (центр. арм. АЛЮМИНИЙ)  (4/4м)</t>
  </si>
  <si>
    <t>6 102.46 руб.</t>
  </si>
  <si>
    <t>ALT-110153</t>
  </si>
  <si>
    <t>PPR TEBO Труба 20х3,4 SDR6 Pn25 (центр. арм. АЛЮМИНИЙ) (2м)  (2/40м)</t>
  </si>
  <si>
    <t>ALT-110154</t>
  </si>
  <si>
    <t>PPR TEBO Труба 25х4,2 SDR6 Pn25 (центр. арм. АЛЮМИНИЙ) (2м)  (2/30м)</t>
  </si>
  <si>
    <t>ALT-110155</t>
  </si>
  <si>
    <t>PPR TEBO Труба 32х5,4 SDR6 Pn25 (центр. арм. АЛЮМИНИЙ) (2м)  (2/20м)</t>
  </si>
  <si>
    <t>ALT-110156</t>
  </si>
  <si>
    <t>PPR TEBO Труба 40х6,7 SDR6 Pn25 (центр. арм. АЛЮМИНИЙ) (2м)  (2/10м)</t>
  </si>
  <si>
    <t>ALT-110157</t>
  </si>
  <si>
    <t>PPR TEBO Труба 20х3,4 SDR6 Pn25 (стекловолокно)  (4/100м)</t>
  </si>
  <si>
    <t>79.20 руб.</t>
  </si>
  <si>
    <t>&gt;500</t>
  </si>
  <si>
    <t>ALT-110158</t>
  </si>
  <si>
    <t>PPR TEBO Труба 25х4,2 SDR6 Pn25 (стекловолокно)  (4/80м)</t>
  </si>
  <si>
    <t>118.80 руб.</t>
  </si>
  <si>
    <t>ALT-110159</t>
  </si>
  <si>
    <t>PPR TEBO Труба 32х5,4 SDR6 Pn25 (стекловолокно)  (4/40м)</t>
  </si>
  <si>
    <t>199.80 руб.</t>
  </si>
  <si>
    <t>ALT-110160</t>
  </si>
  <si>
    <t>PPR TEBO Труба 40х6,7 SDR6 Pn25 (стекловолокно)  (4/20м)</t>
  </si>
  <si>
    <t>307.80 руб.</t>
  </si>
  <si>
    <t>ALT-110161</t>
  </si>
  <si>
    <t>PPR TEBO Труба 50х8,3 SDR6 Pn25 (стекловолокно)  (4/20м)</t>
  </si>
  <si>
    <t>507.09 руб.</t>
  </si>
  <si>
    <t>ALT-110162</t>
  </si>
  <si>
    <t>PPR TEBO Труба 63х10,5 SDR6 Pn25 (стекловолокно)  (4/12м)</t>
  </si>
  <si>
    <t>802.99 руб.</t>
  </si>
  <si>
    <t>&gt;25</t>
  </si>
  <si>
    <t>&gt;10</t>
  </si>
  <si>
    <t>ALT-110163</t>
  </si>
  <si>
    <t>PPR TEBO Труба 75х12,5 SDR6 Pn25 (стекловолокно)  (4/8м)</t>
  </si>
  <si>
    <t>1 137.13 руб.</t>
  </si>
  <si>
    <t>ALT-110164</t>
  </si>
  <si>
    <t>PPR TEBO Труба 90х15,0 SDR6 Pn25 (стекловолокно)  (4/8м)</t>
  </si>
  <si>
    <t>1 597.31 руб.</t>
  </si>
  <si>
    <t>ALT-110165</t>
  </si>
  <si>
    <t>PPR TEBO Труба 110х18,3 SDR6 Pn25 (стекловолокно)  (4/4м)</t>
  </si>
  <si>
    <t>2 430.35 руб.</t>
  </si>
  <si>
    <t>ALT-110166</t>
  </si>
  <si>
    <t>PPR TEBO Труба 125х20,8 SDR6 Pn25 (стекловолокно)  (4/4м)</t>
  </si>
  <si>
    <t>3 707.57 руб.</t>
  </si>
  <si>
    <t>ALT-110167</t>
  </si>
  <si>
    <t>PPR TEBO Труба 160х26,6 SDR6 Pn25 (стекловолокно)  (4/4м)</t>
  </si>
  <si>
    <t>6 037.03 руб.</t>
  </si>
  <si>
    <t>ALT-110168</t>
  </si>
  <si>
    <t>PPR TEBO Труба 20х3,4 SDR6 Pn25 (стекловолокно) (2м)  (2/50м)</t>
  </si>
  <si>
    <t>ALT-110169</t>
  </si>
  <si>
    <t>PPR TEBO Труба 25х4,2 SDR6 Pn25 (стекловолокно) (2м)  (2/40м)</t>
  </si>
  <si>
    <t>ALT-110170</t>
  </si>
  <si>
    <t>PPR TEBO Труба 32х5,4 SDR6 Pn25 (стекловолокно) (2м)  (2/20м)</t>
  </si>
  <si>
    <t>ALT-110171</t>
  </si>
  <si>
    <t>PPR TEBO Труба 40х6,7 SDR6 Pn25 (стекловолокно) (2м)  (2/10м)</t>
  </si>
  <si>
    <t>ALT-110172</t>
  </si>
  <si>
    <t>PPR TEBO Труба 20х2,8 SDR7,4 Pn20 (стекловолокно)  (4/100м)</t>
  </si>
  <si>
    <t>70.56 руб.</t>
  </si>
  <si>
    <t>&gt;1000</t>
  </si>
  <si>
    <t>ALT-110173</t>
  </si>
  <si>
    <t>PPR TEBO Труба 25х3,5 SDR7,4 Pn20 (стекловолокно)  (4/80м)</t>
  </si>
  <si>
    <t>106.20 руб.</t>
  </si>
  <si>
    <t>ALT-110174</t>
  </si>
  <si>
    <t>PPR TEBO Труба 32х4,4 SDR7,4 Pn20 (стекловолокно)  (4/40м)</t>
  </si>
  <si>
    <t>167.40 руб.</t>
  </si>
  <si>
    <t>ALT-110175</t>
  </si>
  <si>
    <t>PPR TEBO Труба 40х5,5 SDR7,4 Pn20 (стекловолокно)  (4/20м)</t>
  </si>
  <si>
    <t>266.40 руб.</t>
  </si>
  <si>
    <t>ALT-110176</t>
  </si>
  <si>
    <t>PPR TEBO Труба 50х6,9 SDR7,4 Pn20 (стекловолокно)  (4/20м)</t>
  </si>
  <si>
    <t>444.60 руб.</t>
  </si>
  <si>
    <t>ALT-110177</t>
  </si>
  <si>
    <t>PPR TEBO Труба 63х8,6 SDR7,4 Pn20 (стекловолокно)  (4/12м)</t>
  </si>
  <si>
    <t>686.72 руб.</t>
  </si>
  <si>
    <t>ALT-110178</t>
  </si>
  <si>
    <t>PPR TEBO Труба 75х10,3 SDR7,4 Pn20 (стекловолокно)  (4/8м)</t>
  </si>
  <si>
    <t>949.50 руб.</t>
  </si>
  <si>
    <t>ALT-110179</t>
  </si>
  <si>
    <t>PPR TEBO Труба 90х12,3 SDR7,4 Pn20 (стекловолокно)  (4/8м)</t>
  </si>
  <si>
    <t>1 424.31 руб.</t>
  </si>
  <si>
    <t>ALT-110180</t>
  </si>
  <si>
    <t>PPR TEBO Труба 110х15,1 SDR7,4 Pn20 (стекловолокно)  (4/4м)</t>
  </si>
  <si>
    <t>2 116.91 руб.</t>
  </si>
  <si>
    <t>ALT-110181</t>
  </si>
  <si>
    <t>PPR TEBO Труба 20х2,8 SDR7,4 Pn20 (стекловолокно) (2м)  (2/50м)</t>
  </si>
  <si>
    <t>ALT-110182</t>
  </si>
  <si>
    <t>PPR TEBO Труба 25х3,5 SDR7,4 Pn20 (стекловолокно) (2м)  (2/40м)</t>
  </si>
  <si>
    <t>ALT-110183</t>
  </si>
  <si>
    <t>PPR TEBO Труба 32х4,4 SDR7,4 Pn20 (стекловолокно) (2м)  (2/20м)</t>
  </si>
  <si>
    <t>ALT-110184</t>
  </si>
  <si>
    <t>PPR TEBO Труба 40х5,5 SDR7,4 Pn20 (стекловолокно) (2м)  (2/10м)</t>
  </si>
  <si>
    <t>Трубы полипропиленовые VALTEC</t>
  </si>
  <si>
    <t>VLC-310001</t>
  </si>
  <si>
    <t>VTp.700.0020.20</t>
  </si>
  <si>
    <t>ТРУБА PP-R, PN 20/25, 20 MM (белый) SDR6  (4 /120шт) (синяя уп 20мм)</t>
  </si>
  <si>
    <t>117.00 руб.</t>
  </si>
  <si>
    <t>VLC-310002</t>
  </si>
  <si>
    <t>VTp.700.0020.25</t>
  </si>
  <si>
    <t>ТРУБА PP-R, PN 20/25, 25 MM (белый) SDR6 (4 /80шт) (синяя уп 25мм)</t>
  </si>
  <si>
    <t>182.00 руб.</t>
  </si>
  <si>
    <t>&gt;5000</t>
  </si>
  <si>
    <t>VLC-310003</t>
  </si>
  <si>
    <t>VTp.700.0020.32</t>
  </si>
  <si>
    <t>ТРУБА PP-R, PN 20/25, 32 MM (белый) SDR6  (4 /60шт) (синяя уп 32мм)</t>
  </si>
  <si>
    <t>298.00 руб.</t>
  </si>
  <si>
    <t>VLC-310004</t>
  </si>
  <si>
    <t>VTp.700.0020.40</t>
  </si>
  <si>
    <t>ТРУБА PP-R, PN 20/25, 40 MM (белый) SDR6 (4 /40шт) (синяя уп 40мм)</t>
  </si>
  <si>
    <t>452.00 руб.</t>
  </si>
  <si>
    <t>VLC-310005</t>
  </si>
  <si>
    <t>VTp.700.0020.50</t>
  </si>
  <si>
    <t>ТРУБА PP-R, PN 20/25, 50 MM (белый) SDR6 (4 /24шт) (синяя уп 50мм)</t>
  </si>
  <si>
    <t>774.00 руб.</t>
  </si>
  <si>
    <t>VLC-310006</t>
  </si>
  <si>
    <t>VTp.700.0020.63</t>
  </si>
  <si>
    <t>ТРУБА PP-R, PN 20/25, 63 MM (белый) SDR6 (4 /16шт) (синяя уп 63мм)</t>
  </si>
  <si>
    <t>1 245.00 руб.</t>
  </si>
  <si>
    <t>VLC-310007</t>
  </si>
  <si>
    <t>VTp.700.0020.75</t>
  </si>
  <si>
    <t>ТРУБА PP-R, PN 20/25, 75 MM (белый) SDR6 (4 /12шт) (синяя уп 75мм)</t>
  </si>
  <si>
    <t>1 990.00 руб.</t>
  </si>
  <si>
    <t>VLC-310008</t>
  </si>
  <si>
    <t>VTp.700.0020.90</t>
  </si>
  <si>
    <t>ТРУБА PP-R, PN 20/25, 90 MM (белый) SDR6 (4 /8шт) (синяя уп 90мм)</t>
  </si>
  <si>
    <t>3 028.00 руб.</t>
  </si>
  <si>
    <t>VLC-310009</t>
  </si>
  <si>
    <t>VTp.700.AL25.20</t>
  </si>
  <si>
    <t>ТРУБА PP-ALUX, арм. АЛЮМ, PN 25, 20 MM (белый)   (4 /120шт) (красная уп 20мм)</t>
  </si>
  <si>
    <t>181.00 руб.</t>
  </si>
  <si>
    <t>VLC-310010</t>
  </si>
  <si>
    <t>VTp.700.AL25.25</t>
  </si>
  <si>
    <t>ТРУБА PP-ALUX, арм. АЛЮМ, PN 25, 25 MM (белый)  (4 /80шт) (красная уп 25мм)</t>
  </si>
  <si>
    <t>261.00 руб.</t>
  </si>
  <si>
    <t>VLC-310011</t>
  </si>
  <si>
    <t>VTp.700.AL25.32</t>
  </si>
  <si>
    <t>ТРУБА PP-ALUX, арм. АЛЮМ, PN 25, 32 MM (белый) (4 /60шт) (красная уп 32мм)</t>
  </si>
  <si>
    <t>419.00 руб.</t>
  </si>
  <si>
    <t>VLC-310012</t>
  </si>
  <si>
    <t>VTp.700.AL25.40</t>
  </si>
  <si>
    <t>ТРУБА PP-ALUX, арм. АЛЮМ, PN 25, 40 MM (белый)  (4 /40шт) (красная уп 40мм)</t>
  </si>
  <si>
    <t>744.00 руб.</t>
  </si>
  <si>
    <t>VLC-310013</t>
  </si>
  <si>
    <t>VTp.700.AL25.50</t>
  </si>
  <si>
    <t>ТРУБА PP-ALUX, арм. АЛЮМ, PN 25, 50 MM (белый) (4 /24шт) (красная уп 50мм)</t>
  </si>
  <si>
    <t>907.00 руб.</t>
  </si>
  <si>
    <t>VLC-310014</t>
  </si>
  <si>
    <t>VTp.700.AL25.63</t>
  </si>
  <si>
    <t>ТРУБА PP-ALUX, арм. АЛЮМ, PN 25, 63 MM (белый)  (4 /16шт) (красная уп 63мм)</t>
  </si>
  <si>
    <t>1 605.00 руб.</t>
  </si>
  <si>
    <t>VLC-310015</t>
  </si>
  <si>
    <t>VTp.700.AL25.75</t>
  </si>
  <si>
    <t>ТРУБА PP-ALUX, арм. АЛЮМ, PN 25, 75 MM (белый)   (4 /12шт) (красная уп 75мм)</t>
  </si>
  <si>
    <t>2 108.00 руб.</t>
  </si>
  <si>
    <t>VLC-310016</t>
  </si>
  <si>
    <t>VTp.700.AL25.90</t>
  </si>
  <si>
    <t>ТРУБА PP-ALUX, арм. АЛЮМ, PN 25, 90 MM (белый)  (4 /8шт) (красная уп 90мм)</t>
  </si>
  <si>
    <t>2 841.00 руб.</t>
  </si>
  <si>
    <t>VLC-310017</t>
  </si>
  <si>
    <t>VTp.700.FB20.20</t>
  </si>
  <si>
    <t>ТРУБА PP-FIBER арм. СТЕКЛО, PN 20, 20 MM (белый)   (4 /120шт) (черная уп 20мм)</t>
  </si>
  <si>
    <t>114.00 руб.</t>
  </si>
  <si>
    <t>VLC-310018</t>
  </si>
  <si>
    <t>VTp.700.FB20.25</t>
  </si>
  <si>
    <t>ТРУБА PP-FIBER арм. СТЕКЛО, PN 20, 25 MM  (белый)  (4 /80шт) (черная уп 25мм)</t>
  </si>
  <si>
    <t>168.00 руб.</t>
  </si>
  <si>
    <t>VLC-310019</t>
  </si>
  <si>
    <t>VTp.700.FB20.32</t>
  </si>
  <si>
    <t>ТРУБА PP-FIBER арм. СТЕКЛО, PN 20, 32 MM (белый)  (4 /60шт) (черная уп 32мм)</t>
  </si>
  <si>
    <t>280.00 руб.</t>
  </si>
  <si>
    <t>VLC-310020</t>
  </si>
  <si>
    <t>VTp.700.FB20.40</t>
  </si>
  <si>
    <t>ТРУБА PP-FIBER арм. СТЕКЛО, PN 20, 40 MM (белый) (4 /40шт) (черная уп 40мм)</t>
  </si>
  <si>
    <t>460.00 руб.</t>
  </si>
  <si>
    <t>VLC-310021</t>
  </si>
  <si>
    <t>VTp.700.FB20.50</t>
  </si>
  <si>
    <t>ТРУБА PP-FIBER арм. СТЕКЛО, PN 20, 50 MM (белый)  (4 /24шт) (черная уп 50мм)</t>
  </si>
  <si>
    <t>811.00 руб.</t>
  </si>
  <si>
    <t>VLC-310022</t>
  </si>
  <si>
    <t>VTp.700.FB20.63</t>
  </si>
  <si>
    <t>ТРУБА PP-FIBER арм. СТЕКЛО, PN 20, 63 MM (белый)  (4 /16шт) (черная уп 63мм)</t>
  </si>
  <si>
    <t>1 293.00 руб.</t>
  </si>
  <si>
    <t>VLC-310023</t>
  </si>
  <si>
    <t>VTp.700.FB20.75</t>
  </si>
  <si>
    <t>ТРУБА PP-FIBER арм. СТЕКЛО, PN 20, 75 MM (белый)   (4 /12шт) (черная уп 75мм)</t>
  </si>
  <si>
    <t>1 085.00 руб.</t>
  </si>
  <si>
    <t>VLC-310024</t>
  </si>
  <si>
    <t>VTp.700.FB20.90</t>
  </si>
  <si>
    <t>ТРУБА PP-FIBER арм. СТЕКЛО, PN 20, 90 MM (белый)   (4 /8шт) (черная уп 90мм)</t>
  </si>
  <si>
    <t>1 618.00 руб.</t>
  </si>
  <si>
    <t>VLC-310025</t>
  </si>
  <si>
    <t>VTp.700.FB25.20</t>
  </si>
  <si>
    <t>ТРУБА PP-FIBER арм. стекл., 20 MM (белый), PN 25   (4 /120шт) (желтая уп 20мм)</t>
  </si>
  <si>
    <t>133.00 руб.</t>
  </si>
  <si>
    <t>VLC-310026</t>
  </si>
  <si>
    <t>VTp.700.FB25.25</t>
  </si>
  <si>
    <t>ТРУБА PP-FIBER арм. стекл., 25 MM (белый), PN 25   (4 /80шт) (желтая уп 25мм)</t>
  </si>
  <si>
    <t>202.00 руб.</t>
  </si>
  <si>
    <t>VLC-310027</t>
  </si>
  <si>
    <t>VTp.700.FB25.32</t>
  </si>
  <si>
    <t>ТРУБА PP-FIBER арм. стекл., 32 MM (белый), PN 25 (4 /60шт) (желтая уп 32мм)</t>
  </si>
  <si>
    <t>349.00 руб.</t>
  </si>
  <si>
    <t>VLC-310028</t>
  </si>
  <si>
    <t>VTp.700.FB25.40</t>
  </si>
  <si>
    <t>ТРУБА PP-FIBER арм. стекл., 40 MM (белый), PN 25 (4 /40шт) (желтая уп 40мм)</t>
  </si>
  <si>
    <t>522.00 руб.</t>
  </si>
  <si>
    <t>VLC-310029</t>
  </si>
  <si>
    <t>VTp.700.FB25.50</t>
  </si>
  <si>
    <t>ТРУБА PP-FIBER арм. стекл., 50 MM (белый), PN 25  (4 /24шт) (желтая уп 50мм)</t>
  </si>
  <si>
    <t>810.00 руб.</t>
  </si>
  <si>
    <t>VLC-310030</t>
  </si>
  <si>
    <t>VTp.700.FB25.63</t>
  </si>
  <si>
    <t>ТРУБА PP-FIBER арм. стекл., 63 MM (белый), PN 25  (4 /16шт) (желтая уп 63мм)</t>
  </si>
  <si>
    <t>1 400.00 руб.</t>
  </si>
  <si>
    <t>VLC-310031</t>
  </si>
  <si>
    <t>VTp.700.FB25.75</t>
  </si>
  <si>
    <t>ТРУБА PP-FIBER арм. стекл., 75 MM (белый), PN 25   (4 /12шт) (желтая уп 75мм)</t>
  </si>
  <si>
    <t>VLC-310032</t>
  </si>
  <si>
    <t>VTp.700.FB25.90</t>
  </si>
  <si>
    <t>ТРУБА PP-FIBER арм. стекл., 90 MM (белый), PN 25   (4 /8шт) (желтая уп 90мм)</t>
  </si>
  <si>
    <t>1 971.00 руб.</t>
  </si>
  <si>
    <t>VLC-320001</t>
  </si>
  <si>
    <t>VTp.700.AL25.20.02</t>
  </si>
  <si>
    <t>ТРУБА PP- ALUX, арм. АЛЮМ, PN 25, 20 MM (белый, по 2м) (2 /60шт) (красная уп 20мм)</t>
  </si>
  <si>
    <t>VLC-320002</t>
  </si>
  <si>
    <t>VTp.700.AL25.25.02</t>
  </si>
  <si>
    <t>ТРУБА PP- ALUX, арм. АЛЮМ, PN 25, 25 MM (белый, по 2м) (2 /40шт) (красная уп 25мм)</t>
  </si>
  <si>
    <t>VLC-320003</t>
  </si>
  <si>
    <t>VTp.700.AL25.32.02</t>
  </si>
  <si>
    <t>ТРУБА PP- ALUX, арм. АЛЮМ, PN 25, 32 MM (белый, по 2м) (2 /30шт) (красная уп 32мм)</t>
  </si>
  <si>
    <t>VLC-320004</t>
  </si>
  <si>
    <t>VTp.700.FB20.20.02</t>
  </si>
  <si>
    <t>ТРУБА PP- FIBER арм. СТЕКЛО, PN 20, 20 MM (белый, по 2м) (2 /60шт) (черная уп 20мм)</t>
  </si>
  <si>
    <t>VLC-320005</t>
  </si>
  <si>
    <t>VTp.700.FB20.25.02</t>
  </si>
  <si>
    <t>ТРУБА PP- FIBER арм. СТЕКЛО, PN 20, 25 MM (белый, по 2м) (2 /40шт) (черная уп 25мм)</t>
  </si>
  <si>
    <t>VLC-320006</t>
  </si>
  <si>
    <t>VTp.700.FB20.32.02</t>
  </si>
  <si>
    <t>ТРУБА PP- FIBER арм. СТЕКЛО, PN 20, 32 MM (белый, по 2м) (2 /30шт) (черная уп 32мм)</t>
  </si>
  <si>
    <t>VLC-320007</t>
  </si>
  <si>
    <t>VTp.700.0020.20.02</t>
  </si>
  <si>
    <t>ТРУБА PP- R, PN 20/25, 20 MM (белый, по 2м) SDR6 (2 /60шт) (синяя уп 20мм)</t>
  </si>
  <si>
    <t>VLC-320008</t>
  </si>
  <si>
    <t>VTp.700.0020.25.02</t>
  </si>
  <si>
    <t>ТРУБА PP- R, PN 20/25, 25 MM (белый, по 2м) SDR6 (2 /40шт) (синяя уп 25мм)</t>
  </si>
  <si>
    <t>VLC-320009</t>
  </si>
  <si>
    <t>VTp.700.0020.32.02</t>
  </si>
  <si>
    <t>ТРУБА PP- R, PN 20/25, 32 MM (белый, по 2м) SDR6 (2 /30шт) (синяя уп 32мм)</t>
  </si>
  <si>
    <t>VLC-900293</t>
  </si>
  <si>
    <t>VTp.700.FB20.110</t>
  </si>
  <si>
    <t>ТРУБА PP-FIBER арм. стекл., PN 20/25, 110 MM SDR6 (белый)</t>
  </si>
  <si>
    <t>2 446.00 руб.</t>
  </si>
  <si>
    <t>Трубы полипропиленовые КАТО</t>
  </si>
  <si>
    <t>VRP-111001</t>
  </si>
  <si>
    <t>PPR Труба 20х3,4 SDR6 Pn25 (СТЕКЛОВОЛОКНО) (4/120м)</t>
  </si>
  <si>
    <t>52.80 руб.</t>
  </si>
  <si>
    <t>VRP-111002</t>
  </si>
  <si>
    <t>PPR Труба 25х4,2 SDR6 Pn25 (СТЕКЛОВОЛОКНО) (4/100м)</t>
  </si>
  <si>
    <t>81.40 руб.</t>
  </si>
  <si>
    <t>VRP-111003</t>
  </si>
  <si>
    <t>PPR Труба 32х5,4 SDR6 Pn25 (СТЕКЛОВОЛОКНО) (4/60м)</t>
  </si>
  <si>
    <t>140.00 руб.</t>
  </si>
  <si>
    <t>VRP-111004</t>
  </si>
  <si>
    <t>PPR Труба 40х6,7 SDR6 Pn25 (СТЕКЛОВОЛОКНО) (4/40м)</t>
  </si>
  <si>
    <t>230.00 руб.</t>
  </si>
  <si>
    <t>VRP-111005</t>
  </si>
  <si>
    <t>PPR Труба 50х8,4 SDR6 Pn25 (СТЕКЛОВОЛОКНО) (4/28м)</t>
  </si>
  <si>
    <t>380.00 руб.</t>
  </si>
  <si>
    <t>VRP-111006</t>
  </si>
  <si>
    <t>PPR Труба 63х10,5 SDR6 Pn25 (СТЕКЛОВОЛОКНО) (4/20м)</t>
  </si>
  <si>
    <t>550.00 руб.</t>
  </si>
  <si>
    <t>VRP-111007</t>
  </si>
  <si>
    <t>PPR Труба 75х12,5 SDR6 Pn25 (СТЕКЛОВОЛОКНО) (4/16м)</t>
  </si>
  <si>
    <t>0.00 руб.</t>
  </si>
  <si>
    <t>VRP-111008</t>
  </si>
  <si>
    <t>PPR Труба 90х15,0 SDR6 Pn25 (СТЕКЛОВОЛОКНО) (4/8м)</t>
  </si>
  <si>
    <t>VRP-111009</t>
  </si>
  <si>
    <t>PPR Труба 110х18,3 SDR6 Pn25 (СТЕКЛОВОЛОКНО) (4/4м)</t>
  </si>
  <si>
    <t>VRP-111010</t>
  </si>
  <si>
    <t>PPR Труба 20х2,8 SDR7,4 Pn20 (стекловолокно) (4/120м)</t>
  </si>
  <si>
    <t>44.74 руб.</t>
  </si>
  <si>
    <t>VRP-111011</t>
  </si>
  <si>
    <t>PPR Труба 25х3,5 SDR7,4 Pn20 (стекловолокно) (4/100м)</t>
  </si>
  <si>
    <t>69.30 руб.</t>
  </si>
  <si>
    <t>VRP-111012</t>
  </si>
  <si>
    <t>PPR Труба 32х4,4 SDR7,4 Pn20 (стекловолокно) (4/60м)</t>
  </si>
  <si>
    <t>115.50 руб.</t>
  </si>
  <si>
    <t>VRP-111013</t>
  </si>
  <si>
    <t>PPR Труба 40х5,5 SDR7,4 Pn20 (стекловолокно) (4/40м)</t>
  </si>
  <si>
    <t>176.00 руб.</t>
  </si>
  <si>
    <t>VRP-111014</t>
  </si>
  <si>
    <t>PPR Труба 50х6,9 SDR7,4 Pn20 (стекловолокно) (4/28м)</t>
  </si>
  <si>
    <t>340.00 руб.</t>
  </si>
  <si>
    <t>VRP-111015</t>
  </si>
  <si>
    <t>PPR Труба 63х8,7 SDR7,4 Pn20 (стекловолокно) (4/20м)</t>
  </si>
  <si>
    <t>480.00 руб.</t>
  </si>
  <si>
    <t>VRP-111016</t>
  </si>
  <si>
    <t>PPR Труба 75х10,1 SDR7,4 Pn20 (стекловолокно) (4/16м)</t>
  </si>
  <si>
    <t>670.00 руб.</t>
  </si>
  <si>
    <t>VRP-111017</t>
  </si>
  <si>
    <t>PPR Труба 90х12,3 SDR7,4 Pn20 (стекловолокно) (4/8м)</t>
  </si>
  <si>
    <t>VRP-111018</t>
  </si>
  <si>
    <t>PPR Труба 110х15,1 SDR7,4 Pn20 (стекловолокно) (4/4м)</t>
  </si>
  <si>
    <t>VRP-111019</t>
  </si>
  <si>
    <t>PPR Труба 20х3,4 SDR6 Pn20 (4/120м)</t>
  </si>
  <si>
    <t>55.40 руб.</t>
  </si>
  <si>
    <t>VRP-111020</t>
  </si>
  <si>
    <t>PPR Труба 25х4,2 SDR6 Pn20 (4/100м)</t>
  </si>
  <si>
    <t>82.00 руб.</t>
  </si>
  <si>
    <t>VRP-111021</t>
  </si>
  <si>
    <t>PPR Труба 32х5,4 SDR6 Pn20 (4/60м)</t>
  </si>
  <si>
    <t>134.00 руб.</t>
  </si>
  <si>
    <t>VRP-111022</t>
  </si>
  <si>
    <t>PPR Труба 40х6,7 SDR6 Pn20 (4/40м)</t>
  </si>
  <si>
    <t>263.00 руб.</t>
  </si>
  <si>
    <t>VRP-111023</t>
  </si>
  <si>
    <t>PPR Труба 50х8,4 SDR6 Pn20 (4/28м)</t>
  </si>
  <si>
    <t>376.00 руб.</t>
  </si>
  <si>
    <t>VRP-111024</t>
  </si>
  <si>
    <t>PPR Труба 63х10,5 SDR6 Pn20 (4/20м)</t>
  </si>
  <si>
    <t>546.00 руб.</t>
  </si>
  <si>
    <t>Фитинги полипропиленовые</t>
  </si>
  <si>
    <t>Фитинги полипропиленовые TEBO</t>
  </si>
  <si>
    <t>ALT-110185</t>
  </si>
  <si>
    <t>PPR TEBO Муфта соединительная 20  (90/900шт)</t>
  </si>
  <si>
    <t>5.84 руб.</t>
  </si>
  <si>
    <t>шт</t>
  </si>
  <si>
    <t>ALT-110186</t>
  </si>
  <si>
    <t>PPR TEBO Муфта соединительная 25  (50/600шт)</t>
  </si>
  <si>
    <t>9.09 руб.</t>
  </si>
  <si>
    <t>ALT-110187</t>
  </si>
  <si>
    <t>PPR TEBO Муфта соединительная 32  (30/300шт)</t>
  </si>
  <si>
    <t>16.68 руб.</t>
  </si>
  <si>
    <t>ALT-110188</t>
  </si>
  <si>
    <t>PPR TEBO Муфта соединительная 40  (20/200шт)</t>
  </si>
  <si>
    <t>26.25 руб.</t>
  </si>
  <si>
    <t>ALT-110189</t>
  </si>
  <si>
    <t>PPR TEBO Муфта соединительная 50  (12/108шт)</t>
  </si>
  <si>
    <t>41.16 руб.</t>
  </si>
  <si>
    <t>ALT-110190</t>
  </si>
  <si>
    <t>PPR TEBO Муфта соединительная 63  (6/60шт)</t>
  </si>
  <si>
    <t>73.08 руб.</t>
  </si>
  <si>
    <t>ALT-110191</t>
  </si>
  <si>
    <t>PPR TEBO Муфта соединительная 75  (6/36шт)</t>
  </si>
  <si>
    <t>148.68 руб.</t>
  </si>
  <si>
    <t>ALT-110192</t>
  </si>
  <si>
    <t>PPR TEBO Муфта соединительная 90  (2/24шт)</t>
  </si>
  <si>
    <t>243.18 руб.</t>
  </si>
  <si>
    <t>ALT-110193</t>
  </si>
  <si>
    <t>PPR TEBO Муфта соединительная 110  (1/10шт)</t>
  </si>
  <si>
    <t>409.92 руб.</t>
  </si>
  <si>
    <t>ALT-110194</t>
  </si>
  <si>
    <t>PPR TEBO Муфта соединительная 125  (1/8шт)</t>
  </si>
  <si>
    <t>816.06 руб.</t>
  </si>
  <si>
    <t>ALT-110195</t>
  </si>
  <si>
    <t>PPR TEBO Муфта соединительная 160  (1/6шт)</t>
  </si>
  <si>
    <t>1 920.03 руб.</t>
  </si>
  <si>
    <t>ALT-110196</t>
  </si>
  <si>
    <t>PPR TEBO Муфта переходная вн.- вн. 25/20  (40/560шт)</t>
  </si>
  <si>
    <t>ALT-110197</t>
  </si>
  <si>
    <t>PPR TEBO Муфта переходная вн.- вн. 32/20  (30/390шт)</t>
  </si>
  <si>
    <t>12.96 руб.</t>
  </si>
  <si>
    <t>ALT-110198</t>
  </si>
  <si>
    <t>PPR TEBO Муфта переходная вн.- вн. 32/25  (30/360шт)</t>
  </si>
  <si>
    <t>13.37 руб.</t>
  </si>
  <si>
    <t>ALT-110199</t>
  </si>
  <si>
    <t>PPR TEBO Муфта переходная вн.- вн. 40/20  (30/330шт)</t>
  </si>
  <si>
    <t>21.84 руб.</t>
  </si>
  <si>
    <t>ALT-110200</t>
  </si>
  <si>
    <t>PPR TEBO Муфта переходная вн.- вн. 40/25  (30/330шт)</t>
  </si>
  <si>
    <t>22.26 руб.</t>
  </si>
  <si>
    <t>ALT-110201</t>
  </si>
  <si>
    <t>PPR TEBO Муфта переходная вн.- вн. 40/32  (20/200шт)</t>
  </si>
  <si>
    <t>23.52 руб.</t>
  </si>
  <si>
    <t>ALT-110202</t>
  </si>
  <si>
    <t>PPR TEBO Муфта переходная вн.- вн. 50/20  (20/200шт)</t>
  </si>
  <si>
    <t>39.48 руб.</t>
  </si>
  <si>
    <t>ALT-110203</t>
  </si>
  <si>
    <t>PPR TEBO Муфта переходная вн.- вн. 50/25  (20/200шт)</t>
  </si>
  <si>
    <t>40.32 руб.</t>
  </si>
  <si>
    <t>ALT-110204</t>
  </si>
  <si>
    <t>PPR TEBO Муфта переходная вн.- вн. 50/32  (15/150шт)</t>
  </si>
  <si>
    <t>33.81 руб.</t>
  </si>
  <si>
    <t>ALT-110205</t>
  </si>
  <si>
    <t>PPR TEBO Муфта переходная вн.- вн. 50/40  (15/120шт)</t>
  </si>
  <si>
    <t>43.68 руб.</t>
  </si>
  <si>
    <t>ALT-110206</t>
  </si>
  <si>
    <t>PPR TEBO Муфта переходная вн.- вн. 63/20  (10/80шт)</t>
  </si>
  <si>
    <t>78.54 руб.</t>
  </si>
  <si>
    <t>ALT-110207</t>
  </si>
  <si>
    <t>PPR TEBO Муфта переходная вн.- вн. 63/25  (10/80шт)</t>
  </si>
  <si>
    <t>80.22 руб.</t>
  </si>
  <si>
    <t>ALT-110208</t>
  </si>
  <si>
    <t>PPR TEBO Муфта переходная вн.- вн. 63/32  (10/80шт)</t>
  </si>
  <si>
    <t>70.98 руб.</t>
  </si>
  <si>
    <t>ALT-110209</t>
  </si>
  <si>
    <t>PPR TEBO Муфта переходная вн.- вн. 63/40  (10/80шт)</t>
  </si>
  <si>
    <t>73.92 руб.</t>
  </si>
  <si>
    <t>ALT-110210</t>
  </si>
  <si>
    <t>PPR TEBO Муфта переходная вн.- вн. 63/50  (6/60шт)</t>
  </si>
  <si>
    <t>81.27 руб.</t>
  </si>
  <si>
    <t>ALT-110211</t>
  </si>
  <si>
    <t>PPR TEBO Муфта переходная вн.- вн. 75/32  (10/60шт)</t>
  </si>
  <si>
    <t>107.73 руб.</t>
  </si>
  <si>
    <t>ALT-110212</t>
  </si>
  <si>
    <t>PPR TEBO Муфта переходная вн.- вн. 75/40  (10/60шт)</t>
  </si>
  <si>
    <t>114.87 руб.</t>
  </si>
  <si>
    <t>ALT-110213</t>
  </si>
  <si>
    <t>PPR TEBO Муфта переходная вн.- вн. 75/50  (10/60шт)</t>
  </si>
  <si>
    <t>109.83 руб.</t>
  </si>
  <si>
    <t>ALT-110214</t>
  </si>
  <si>
    <t>PPR TEBO Муфта переходная вн.- вн. 75/63  (5/40шт)</t>
  </si>
  <si>
    <t>110.25 руб.</t>
  </si>
  <si>
    <t>ALT-110215</t>
  </si>
  <si>
    <t>PPR TEBO Муфта переходная вн.- вн. 90/32  (4/40шт)</t>
  </si>
  <si>
    <t>175.14 руб.</t>
  </si>
  <si>
    <t>ALT-110216</t>
  </si>
  <si>
    <t>PPR TEBO Муфта переходная вн.- вн. 90/40  (4/36шт)</t>
  </si>
  <si>
    <t>176.82 руб.</t>
  </si>
  <si>
    <t>ALT-110217</t>
  </si>
  <si>
    <t>PPR TEBO Муфта переходная вн.- вн. 90/50  (4/36шт)</t>
  </si>
  <si>
    <t>204.75 руб.</t>
  </si>
  <si>
    <t>ALT-110218</t>
  </si>
  <si>
    <t>PPR TEBO Муфта переходная вн.- вн. 90/63  (4/36шт)</t>
  </si>
  <si>
    <t>194.04 руб.</t>
  </si>
  <si>
    <t>ALT-110219</t>
  </si>
  <si>
    <t>PPR TEBO Муфта переходная вн.- вн. 90/75  (2/24шт)</t>
  </si>
  <si>
    <t>201.81 руб.</t>
  </si>
  <si>
    <t>ALT-110220</t>
  </si>
  <si>
    <t>PPR TEBO Муфта переходная вн.- вн. 110/50  (1/20шт)</t>
  </si>
  <si>
    <t>339.36 руб.</t>
  </si>
  <si>
    <t>ALT-110221</t>
  </si>
  <si>
    <t>PPR TEBO Муфта переходная вн.- вн. 110/63  (1/20шт)</t>
  </si>
  <si>
    <t>325.50 руб.</t>
  </si>
  <si>
    <t>ALT-110222</t>
  </si>
  <si>
    <t>PPR TEBO Муфта переходная вн.- вн. 110/75  (1/20шт)</t>
  </si>
  <si>
    <t>329.70 руб.</t>
  </si>
  <si>
    <t>ALT-110223</t>
  </si>
  <si>
    <t>PPR TEBO Муфта переходная вн.- вн. 110/90  (1/15шт)</t>
  </si>
  <si>
    <t>333.90 руб.</t>
  </si>
  <si>
    <t>ALT-110224</t>
  </si>
  <si>
    <t>PPR TEBO Муфта переходная вн.- вн. 125/110  (1/11шт)</t>
  </si>
  <si>
    <t>654.78 руб.</t>
  </si>
  <si>
    <t>ALT-110225</t>
  </si>
  <si>
    <t>PPR TEBO Муфта переходная вн.- вн. 160/110  (1/8шт)</t>
  </si>
  <si>
    <t>858.69 руб.</t>
  </si>
  <si>
    <t>ALT-110226</t>
  </si>
  <si>
    <t>PPR TEBO Муфта переходная вн.- нар. 25/20  (100/1000шт)</t>
  </si>
  <si>
    <t>5.67 руб.</t>
  </si>
  <si>
    <t>ALT-110227</t>
  </si>
  <si>
    <t>PPR TEBO Муфта переходная вн.- нар. 32/20  (50/600шт)</t>
  </si>
  <si>
    <t>9.87 руб.</t>
  </si>
  <si>
    <t>ALT-110228</t>
  </si>
  <si>
    <t>PPR TEBO Муфта переходная вн.- нар. 32/25  (50/500шт)</t>
  </si>
  <si>
    <t>10.08 руб.</t>
  </si>
  <si>
    <t>ALT-110229</t>
  </si>
  <si>
    <t>PPR TEBO Муфта переходная вн.- нар. 40/20  (40/400шт)</t>
  </si>
  <si>
    <t>16.17 руб.</t>
  </si>
  <si>
    <t>ALT-110230</t>
  </si>
  <si>
    <t>PPR TEBO Муфта переходная вн.- нар. 40/25  (30/300шт)</t>
  </si>
  <si>
    <t>17.01 руб.</t>
  </si>
  <si>
    <t>ALT-110231</t>
  </si>
  <si>
    <t>PPR TEBO Муфта переходная вн.- нар. 40/32  (30/240шт)</t>
  </si>
  <si>
    <t>18.90 руб.</t>
  </si>
  <si>
    <t>ALT-110232</t>
  </si>
  <si>
    <t>PPR TEBO Муфта переходная вн.- нар. 50/20  (20/240шт)</t>
  </si>
  <si>
    <t>27.51 руб.</t>
  </si>
  <si>
    <t>ALT-110233</t>
  </si>
  <si>
    <t>PPR TEBO Муфта переходная вн.- нар. 50/25  (20/240шт)</t>
  </si>
  <si>
    <t>28.35 руб.</t>
  </si>
  <si>
    <t>ALT-110234</t>
  </si>
  <si>
    <t>PPR TEBO Муфта переходная вн.- нар. 50/32  (20/240шт)</t>
  </si>
  <si>
    <t>29.61 руб.</t>
  </si>
  <si>
    <t>ALT-110235</t>
  </si>
  <si>
    <t>PPR TEBO Муфта переходная вн.- нар. 50/40  (20/200шт)</t>
  </si>
  <si>
    <t>34.02 руб.</t>
  </si>
  <si>
    <t>ALT-110236</t>
  </si>
  <si>
    <t>PPR TEBO Муфта переходная вн.- нар. 63/25  (10/120шт)</t>
  </si>
  <si>
    <t>38.85 руб.</t>
  </si>
  <si>
    <t>ALT-110237</t>
  </si>
  <si>
    <t>PPR TEBO Муфта переходная вн.- нар. 63/32  (10/100шт)</t>
  </si>
  <si>
    <t>48.51 руб.</t>
  </si>
  <si>
    <t>ALT-110238</t>
  </si>
  <si>
    <t>PPR TEBO Муфта переходная вн.- нар. 63/40  (10/100шт)</t>
  </si>
  <si>
    <t>47.25 руб.</t>
  </si>
  <si>
    <t>ALT-110239</t>
  </si>
  <si>
    <t>PPR TEBO Муфта переходная вн.- нар. 63/50  (10/100шт)</t>
  </si>
  <si>
    <t>56.49 руб.</t>
  </si>
  <si>
    <t>ALT-110240</t>
  </si>
  <si>
    <t>PPR TEBO Муфта переходная вн.- нар. 75/50  (12/60шт)</t>
  </si>
  <si>
    <t>159.25 руб.</t>
  </si>
  <si>
    <t>ALT-110241</t>
  </si>
  <si>
    <t>PPR TEBO Муфта переходная вн.- нар. 75/63  (6/48шт)</t>
  </si>
  <si>
    <t>ALT-110242</t>
  </si>
  <si>
    <t>PPR TEBO Муфта переходная вн.- нар. 90/63  (6/36шт)</t>
  </si>
  <si>
    <t>286.65 руб.</t>
  </si>
  <si>
    <t>ALT-110243</t>
  </si>
  <si>
    <t>PPR TEBO Муфта переходная вн.- нар. 90/75  (4/24шт)</t>
  </si>
  <si>
    <t>353.54 руб.</t>
  </si>
  <si>
    <t>ALT-110244</t>
  </si>
  <si>
    <t>PPR TEBO Муфта переходная вн.- нар. 110/90  (2/18шт)</t>
  </si>
  <si>
    <t>730.96 руб.</t>
  </si>
  <si>
    <t>ALT-110245</t>
  </si>
  <si>
    <t>PPR TEBO Муфта разъемная 20  (30/300шт)</t>
  </si>
  <si>
    <t>32.97 руб.</t>
  </si>
  <si>
    <t>ALT-110246</t>
  </si>
  <si>
    <t>PPR TEBO Муфта разъемная 25  (20/160шт)</t>
  </si>
  <si>
    <t>53.55 руб.</t>
  </si>
  <si>
    <t>ALT-110247</t>
  </si>
  <si>
    <t>PPR TEBO Муфта разъемная 32  (10/100шт)</t>
  </si>
  <si>
    <t>85.89 руб.</t>
  </si>
  <si>
    <t>ALT-110248</t>
  </si>
  <si>
    <t>PPR TEBO Муфта разъемная 40  (5/50шт)</t>
  </si>
  <si>
    <t>131.67 руб.</t>
  </si>
  <si>
    <t>ALT-110249</t>
  </si>
  <si>
    <t>PPR TEBO Муфта разборная ремонтная 20  (20/120шт)</t>
  </si>
  <si>
    <t>134.19 руб.</t>
  </si>
  <si>
    <t>ALT-110250</t>
  </si>
  <si>
    <t>PPR TEBO Муфта разборная ремонтная 25  (20/100шт)</t>
  </si>
  <si>
    <t>278.04 руб.</t>
  </si>
  <si>
    <t>ALT-110251</t>
  </si>
  <si>
    <t>PPR TEBO Муфта разборная ремонтная 32  (15/75шт)</t>
  </si>
  <si>
    <t>315.84 руб.</t>
  </si>
  <si>
    <t>ALT-110252</t>
  </si>
  <si>
    <t>PPR TEBO Муфта комб. вн.р. 20x1/2"  (40/200шт)</t>
  </si>
  <si>
    <t>89.10 руб.</t>
  </si>
  <si>
    <t>ALT-110253</t>
  </si>
  <si>
    <t>PPR TEBO Муфта комб. вн.р. 20x3/4"  (25/150шт)</t>
  </si>
  <si>
    <t>94.50 руб.</t>
  </si>
  <si>
    <t>ALT-110254</t>
  </si>
  <si>
    <t>PPR TEBO Муфта комб. вн.р. 25x1/2"  (30/180шт)</t>
  </si>
  <si>
    <t>71.40 руб.</t>
  </si>
  <si>
    <t>ALT-110255</t>
  </si>
  <si>
    <t>PPR TEBO Муфта комб. вн.р. 25x3/4"  (25/150шт)</t>
  </si>
  <si>
    <t>122.90 руб.</t>
  </si>
  <si>
    <t>ALT-110256</t>
  </si>
  <si>
    <t>030023407</t>
  </si>
  <si>
    <t>PPR TEBO Муфта комб. вн.р. 32x1/2"  (20/120шт)</t>
  </si>
  <si>
    <t>84.63 руб.</t>
  </si>
  <si>
    <t>ALT-110257</t>
  </si>
  <si>
    <t>PPR TEBO Муфта комб. вн.р. 32x3/4"  (20/120шт)</t>
  </si>
  <si>
    <t>96.18 руб.</t>
  </si>
  <si>
    <t>ALT-110258</t>
  </si>
  <si>
    <t>PPR TEBO Муфта комб. вн.р. 32x1"  (15/90шт)</t>
  </si>
  <si>
    <t>165.06 руб.</t>
  </si>
  <si>
    <t>ALT-110259</t>
  </si>
  <si>
    <t>PPR TEBO Муфта комб. нар.р. 20x1/2"  (40/160шт)</t>
  </si>
  <si>
    <t>116.10 руб.</t>
  </si>
  <si>
    <t>ALT-110260</t>
  </si>
  <si>
    <t>PPR TEBO Муфта комб. нар.р. 20x3/4"  (20/120шт)</t>
  </si>
  <si>
    <t>116.55 руб.</t>
  </si>
  <si>
    <t>ALT-110261</t>
  </si>
  <si>
    <t>PPR TEBO Муфта комб. нар.р. 25x1/2"  (40/160шт)</t>
  </si>
  <si>
    <t>84.21 руб.</t>
  </si>
  <si>
    <t>ALT-110262</t>
  </si>
  <si>
    <t>PPR TEBO Муфта комб. нар.р. 25x3/4"  (20/120шт)</t>
  </si>
  <si>
    <t>156.77 руб.</t>
  </si>
  <si>
    <t>ALT-110263</t>
  </si>
  <si>
    <t>030023607</t>
  </si>
  <si>
    <t>PPR TEBO Муфта комб. нар.р. 32x1/2"  (15/90шт)</t>
  </si>
  <si>
    <t>ALT-110264</t>
  </si>
  <si>
    <t>PPR TEBO Муфта комб. нар.р. 32x3/4"  (15/90шт)</t>
  </si>
  <si>
    <t>133.35 руб.</t>
  </si>
  <si>
    <t>ALT-110265</t>
  </si>
  <si>
    <t>PPR TEBO Муфта комб. нар.р. 32x1"  (10/60шт)</t>
  </si>
  <si>
    <t>203.70 руб.</t>
  </si>
  <si>
    <t>ALT-110266</t>
  </si>
  <si>
    <t>PPR TEBO Муфта комб. вн.р. 32x1" под ключ  (15/60шт)</t>
  </si>
  <si>
    <t>412.46 руб.</t>
  </si>
  <si>
    <t>ALT-110267</t>
  </si>
  <si>
    <t>PPR TEBO Муфта комб. вн.р. 40x1" под ключ  (5/35шт)</t>
  </si>
  <si>
    <t>582.86 руб.</t>
  </si>
  <si>
    <t>ALT-110268</t>
  </si>
  <si>
    <t>PPR TEBO Муфта комб. вн.р. 40x1.1/4" под ключ  (5/35шт)</t>
  </si>
  <si>
    <t>431.76 руб.</t>
  </si>
  <si>
    <t>ALT-110269</t>
  </si>
  <si>
    <t>PPR TEBO Муфта комб. вн.р. 50x1.1/2" под ключ  (6/24шт)</t>
  </si>
  <si>
    <t>587.16 руб.</t>
  </si>
  <si>
    <t>ALT-110270</t>
  </si>
  <si>
    <t>PPR TEBO Муфта комб. вн.р. 63x2" под ключ  (4/16шт)</t>
  </si>
  <si>
    <t>878.85 руб.</t>
  </si>
  <si>
    <t>ALT-110271</t>
  </si>
  <si>
    <t>PPR TEBO Муфта комб. вн.р. 75x2.1/2" под ключ  (2/8шт)</t>
  </si>
  <si>
    <t>1 759.17 руб.</t>
  </si>
  <si>
    <t>ALT-110272</t>
  </si>
  <si>
    <t>PPR TEBO Муфта комб. вн.р. 90x3" под ключ  (1/5шт)</t>
  </si>
  <si>
    <t>3 248.70 руб.</t>
  </si>
  <si>
    <t>ALT-110273</t>
  </si>
  <si>
    <t>PPR TEBO Муфта комб. вн.р. 110x4" под ключ  (1/4шт)</t>
  </si>
  <si>
    <t>4 818.91 руб.</t>
  </si>
  <si>
    <t>ALT-110274</t>
  </si>
  <si>
    <t>PPR TEBO Муфта комб. нар.р. 32x1" под ключ  (10/50шт)</t>
  </si>
  <si>
    <t>463.42 руб.</t>
  </si>
  <si>
    <t>ALT-110275</t>
  </si>
  <si>
    <t>PPR TEBO Муфта комб. нар.р. 40x1" под ключ  (5/30шт)</t>
  </si>
  <si>
    <t>590.82 руб.</t>
  </si>
  <si>
    <t>ALT-110276</t>
  </si>
  <si>
    <t>PPR TEBO Муфта комб. нар.р. 40x1.1/4" под ключ  (5/30шт)</t>
  </si>
  <si>
    <t>499.17 руб.</t>
  </si>
  <si>
    <t>ALT-110277</t>
  </si>
  <si>
    <t>PPR TEBO Муфта комб. нар.р. 50x1.1/2" под ключ  (6/24шт)</t>
  </si>
  <si>
    <t>638.19 руб.</t>
  </si>
  <si>
    <t>ALT-110278</t>
  </si>
  <si>
    <t>PPR TEBO Муфта комб. нар.р. 63x2" под ключ  (4/16шт)</t>
  </si>
  <si>
    <t>1 213.17 руб.</t>
  </si>
  <si>
    <t>ALT-110279</t>
  </si>
  <si>
    <t>PPR TEBO Муфта комб. нар.р. 75x2.1/2" под ключ  (1/8шт)</t>
  </si>
  <si>
    <t>2 107.14 руб.</t>
  </si>
  <si>
    <t>ALT-110280</t>
  </si>
  <si>
    <t>PPR TEBO Муфта комб. нар.р. 90x3" под ключ  (1/5шт)</t>
  </si>
  <si>
    <t>4 398.49 руб.</t>
  </si>
  <si>
    <t>ALT-110281</t>
  </si>
  <si>
    <t>PPR TEBO Муфта комб. нар.р. 110x4" под ключ  (1/3шт)</t>
  </si>
  <si>
    <t>6 871.64 руб.</t>
  </si>
  <si>
    <t>ALT-110282</t>
  </si>
  <si>
    <t>015020802</t>
  </si>
  <si>
    <t>PPR TEBO Муфта усил. комб. разъемная (американка) вн.р. 20x1/2" плоская прокладка (20/160шт)</t>
  </si>
  <si>
    <t>227.73 руб.</t>
  </si>
  <si>
    <t>ALT-110283</t>
  </si>
  <si>
    <t>015020803</t>
  </si>
  <si>
    <t>PPR TEBO Муфта усил. комб. разъемная (американка) вн.р. 20x3/4"  плоская прокладка (10/160шт)</t>
  </si>
  <si>
    <t>243.65 руб.</t>
  </si>
  <si>
    <t>ALT-110284</t>
  </si>
  <si>
    <t>015020804</t>
  </si>
  <si>
    <t>PPR TEBO Муфта усил. комб. разъемная (американка) вн.р. 20x1"  плоская прокладка (10/100шт)</t>
  </si>
  <si>
    <t>425.20 руб.</t>
  </si>
  <si>
    <t>ALT-110285</t>
  </si>
  <si>
    <t>015020817</t>
  </si>
  <si>
    <t>PPR TEBO Муфта усил. комб. разъемная (американка) вн.р. 25x1/2"  плоская прокладка (10/100шт)</t>
  </si>
  <si>
    <t>340.80 руб.</t>
  </si>
  <si>
    <t>ALT-110286</t>
  </si>
  <si>
    <t>015020805</t>
  </si>
  <si>
    <t>PPR TEBO Муфта усил. комб. разъемная (американка) вн.р. 25x3/4"  плоская прокладка (10/100шт)</t>
  </si>
  <si>
    <t>348.76 руб.</t>
  </si>
  <si>
    <t>ALT-110287</t>
  </si>
  <si>
    <t>015020806</t>
  </si>
  <si>
    <t>PPR TEBO Муфта усил. комб. разъемная (американка) вн.р. 25x1"  плоская прокладка (10/100шт)</t>
  </si>
  <si>
    <t>313.72 руб.</t>
  </si>
  <si>
    <t>ALT-110288</t>
  </si>
  <si>
    <t>015020807</t>
  </si>
  <si>
    <t>PPR TEBO Муфта усил. комб. разъемная (американка) вн.р. 32x3/4"  плоская прокладка (10/80шт)</t>
  </si>
  <si>
    <t>399.72 руб.</t>
  </si>
  <si>
    <t>ALT-110289</t>
  </si>
  <si>
    <t>015020808</t>
  </si>
  <si>
    <t>PPR TEBO Муфта усил. комб. разъемная (американка) вн.р. 32x1"  плоская прокладка (10/80шт)</t>
  </si>
  <si>
    <t>434.75 руб.</t>
  </si>
  <si>
    <t>ALT-110290</t>
  </si>
  <si>
    <t>015020809</t>
  </si>
  <si>
    <t>PPR TEBO Муфта усил. комб. разъемная (американка) вн.р. 32x1.1/4"  плоская прокладка (5/80шт)</t>
  </si>
  <si>
    <t>452.27 руб.</t>
  </si>
  <si>
    <t>ALT-110291</t>
  </si>
  <si>
    <t>015020810</t>
  </si>
  <si>
    <t>PPR TEBO Муфта усил. комб. разъемная (американка) вн.р. 40x1.1/4"  плоская прокладка (5/50шт)</t>
  </si>
  <si>
    <t>687.96 руб.</t>
  </si>
  <si>
    <t>ALT-110292</t>
  </si>
  <si>
    <t>015020811</t>
  </si>
  <si>
    <t>PPR TEBO Муфта усил. комб. разъемная (американка) вн.р. 50x1.1/2"  плоская прокладка (4/24шт)</t>
  </si>
  <si>
    <t>1 307.44 руб.</t>
  </si>
  <si>
    <t>ALT-110293</t>
  </si>
  <si>
    <t>015020812</t>
  </si>
  <si>
    <t>PPR TEBO Муфта усил. комб. разъемная (американка) вн.р. 63x2"  плоская прокладка (1/15шт)</t>
  </si>
  <si>
    <t>2 084.58 руб.</t>
  </si>
  <si>
    <t>ALT-110294</t>
  </si>
  <si>
    <t>015020813</t>
  </si>
  <si>
    <t>PPR TEBO Муфта усил. комб. разъемная (американка) вн.р. 75x2.1/2"  плоская прокладка (1/5шт)</t>
  </si>
  <si>
    <t>4 646.92 руб.</t>
  </si>
  <si>
    <t>ALT-110295</t>
  </si>
  <si>
    <t>015020902</t>
  </si>
  <si>
    <t>PPR TEBO Муфта усил. комб. разъемная (американка) нар.р. 20x1/2"  плоская прокладка (20/160шт)</t>
  </si>
  <si>
    <t>235.69 руб.</t>
  </si>
  <si>
    <t>ALT-110296</t>
  </si>
  <si>
    <t>015020903</t>
  </si>
  <si>
    <t>PPR TEBO Муфта усил. комб. разъемная (американка) нар.р. 20x3/4"  плоская прокладка (10/160шт)</t>
  </si>
  <si>
    <t>242.06 руб.</t>
  </si>
  <si>
    <t>ALT-110297</t>
  </si>
  <si>
    <t>015020904</t>
  </si>
  <si>
    <t>PPR TEBO Муфта усил. комб. разъемная (американка) нар.р. 20x1"  плоская прокладка (10/100шт)</t>
  </si>
  <si>
    <t>429.98 руб.</t>
  </si>
  <si>
    <t>ALT-110298</t>
  </si>
  <si>
    <t>T-ППР.Мрн.25.1.2.Б.Tr</t>
  </si>
  <si>
    <t>PPR TEBO Муфта усил. комб. разъемная (американка) нар.р. 25x1/2"  плоская прокладка (10/100шт)</t>
  </si>
  <si>
    <t>336.02 руб.</t>
  </si>
  <si>
    <t>ALT-110299</t>
  </si>
  <si>
    <t>015020905</t>
  </si>
  <si>
    <t>PPR TEBO Муфта усил. комб. разъемная (американка) нар.р. 25x3/4"  плоская прокладка (10/100шт)</t>
  </si>
  <si>
    <t>377.42 руб.</t>
  </si>
  <si>
    <t>ALT-110300</t>
  </si>
  <si>
    <t>015020906</t>
  </si>
  <si>
    <t>PPR TEBO Муфта усил. комб. разъемная (американка) нар.р. 25x1"  плоская прокладка (10/100шт)</t>
  </si>
  <si>
    <t>385.39 руб.</t>
  </si>
  <si>
    <t>ALT-110301</t>
  </si>
  <si>
    <t>015020907</t>
  </si>
  <si>
    <t>PPR TEBO Муфта усил. комб. разъемная (американка) нар.р. 32x3/4"  плоская прокладка (10/60шт)</t>
  </si>
  <si>
    <t>460.23 руб.</t>
  </si>
  <si>
    <t>ALT-110302</t>
  </si>
  <si>
    <t>T-ППР.Мрн.32.1.Б.Tr</t>
  </si>
  <si>
    <t>PPR TEBO Муфта усил. комб. разъемная (американка) нар.р. 32x1"  плоская прокладка (10/60шт)</t>
  </si>
  <si>
    <t>445.90 руб.</t>
  </si>
  <si>
    <t>ALT-110303</t>
  </si>
  <si>
    <t>015020909</t>
  </si>
  <si>
    <t>PPR TEBO Муфта усил. комб. разъемная (американка) нар.р. 32x1.1/4"  плоская прокладка (5/60шт)</t>
  </si>
  <si>
    <t>ALT-110304</t>
  </si>
  <si>
    <t>015020910</t>
  </si>
  <si>
    <t>PPR TEBO Муфта усил. комб. разъемная (американка) нар.р. 40x1.1/4"  плоская прокладка (5/40шт)</t>
  </si>
  <si>
    <t>777.14 руб.</t>
  </si>
  <si>
    <t>ALT-110305</t>
  </si>
  <si>
    <t>015020911</t>
  </si>
  <si>
    <t>PPR TEBO Муфта усил. комб. разъемная (американка) нар.р. 50x1.1/2"  плоская прокладка (2/20шт)</t>
  </si>
  <si>
    <t>1 441.21 руб.</t>
  </si>
  <si>
    <t>ALT-110306</t>
  </si>
  <si>
    <t>015020912</t>
  </si>
  <si>
    <t>PPR TEBO Муфта усил. комб. разъемная (американка) нар.р. 63x2"  плоская прокладка (1/13шт)</t>
  </si>
  <si>
    <t>2 302.76 руб.</t>
  </si>
  <si>
    <t>ALT-110307</t>
  </si>
  <si>
    <t>015020913</t>
  </si>
  <si>
    <t>PPR TEBO Муфта усил. комб. разъемная (американка) нар.р. 75x2 1/2"  плоская прокладка (1/5шт)</t>
  </si>
  <si>
    <t>5 119.89 руб.</t>
  </si>
  <si>
    <t>ALT-110320</t>
  </si>
  <si>
    <t>015022002</t>
  </si>
  <si>
    <t>PPR TEBO Муфта комб. разъемная вн.р.(американка) 20x1/2" прокладка кольцо (20/200шт)</t>
  </si>
  <si>
    <t>183.14 руб.</t>
  </si>
  <si>
    <t>ALT-110321</t>
  </si>
  <si>
    <t>015022003</t>
  </si>
  <si>
    <t>PPR TEBO Муфта комб. разъемная вн.р.(американка) 20x3/4" прокладка кольцо (20/200шт)</t>
  </si>
  <si>
    <t>199.06 руб.</t>
  </si>
  <si>
    <t>ALT-110322</t>
  </si>
  <si>
    <t>015022004</t>
  </si>
  <si>
    <t>PPR TEBO Муфта комб. разъемная вн.р.(американка) 20x1" прокладка кольцо (10/100шт)</t>
  </si>
  <si>
    <t>372.65 руб.</t>
  </si>
  <si>
    <t>ALT-110323</t>
  </si>
  <si>
    <t>015022017</t>
  </si>
  <si>
    <t>PPR TEBO Муфта комб. разъемная вн.р.(американка) 25x1/2" прокладка кольцо (10/140шт)</t>
  </si>
  <si>
    <t>280.28 руб.</t>
  </si>
  <si>
    <t>ALT-110324</t>
  </si>
  <si>
    <t>015022005</t>
  </si>
  <si>
    <t>PPR TEBO Муфта комб. разъемная вн.р.(американка) 25x3/4" прокладка кольцо (10/140шт)</t>
  </si>
  <si>
    <t>281.87 руб.</t>
  </si>
  <si>
    <t>ALT-110325</t>
  </si>
  <si>
    <t>T-ППР.Мрв.25.1.Б.Tr</t>
  </si>
  <si>
    <t>PPR TEBO Муфта комб. разъемная вн.р.(американка) 25x1" прокладка кольцо (10/120шт)</t>
  </si>
  <si>
    <t>310.54 руб.</t>
  </si>
  <si>
    <t>ALT-110326</t>
  </si>
  <si>
    <t>015022007</t>
  </si>
  <si>
    <t>PPR TEBO Муфта комб. разъемная вн.р.(американка) 32x3/4" прокладка кольцо (10/100шт)</t>
  </si>
  <si>
    <t>350.35 руб.</t>
  </si>
  <si>
    <t>ALT-110327</t>
  </si>
  <si>
    <t>015022008</t>
  </si>
  <si>
    <t>PPR TEBO Муфта комб. разъемная вн.р.(американка) 32x1" прокладка кольцо (10/100шт)</t>
  </si>
  <si>
    <t>ALT-110328</t>
  </si>
  <si>
    <t>015022009</t>
  </si>
  <si>
    <t>PPR TEBO Муфта комб. разъемная вн.р.(американка) 32x1.1/4" прокладка кольцо (5/80шт)</t>
  </si>
  <si>
    <t>455.46 руб.</t>
  </si>
  <si>
    <t>ALT-110329</t>
  </si>
  <si>
    <t>015022010</t>
  </si>
  <si>
    <t>PPR TEBO Муфта комб. разъемная вн.р.(американка) 40x1.1/4" прокладка кольцо (5/50шт)</t>
  </si>
  <si>
    <t>632.22 руб.</t>
  </si>
  <si>
    <t>ALT-110330</t>
  </si>
  <si>
    <t>015022011</t>
  </si>
  <si>
    <t>PPR TEBO Муфта комб. разъемная вн.р.(американка) 50x1.1/2" прокладка кольцо (4/32шт)</t>
  </si>
  <si>
    <t>1 145.01 руб.</t>
  </si>
  <si>
    <t>ALT-110331</t>
  </si>
  <si>
    <t>015022012</t>
  </si>
  <si>
    <t>PPR TEBO Муфта комб. разъемная вн.р.(американка) 63x2" прокладка кольцо (1/15шт)</t>
  </si>
  <si>
    <t>1 834.56 руб.</t>
  </si>
  <si>
    <t>ALT-110332</t>
  </si>
  <si>
    <t>015022102</t>
  </si>
  <si>
    <t>PPR TEBO Муфта комб. разъемная нар.р.(американка) 20x1/2" прокладка кольцо (20/200шт)</t>
  </si>
  <si>
    <t>195.88 руб.</t>
  </si>
  <si>
    <t>ALT-110333</t>
  </si>
  <si>
    <t>015022103</t>
  </si>
  <si>
    <t>PPR TEBO Муфта комб. разъемная нар.р.(американка) 20x3/4" прокладка кольцо (20/200шт)</t>
  </si>
  <si>
    <t>ALT-110334</t>
  </si>
  <si>
    <t>015022104</t>
  </si>
  <si>
    <t>PPR TEBO Муфта комб. разъемная нар.р.(американка) 20x1" прокладка кольцо (10/100шт)</t>
  </si>
  <si>
    <t>404.50 руб.</t>
  </si>
  <si>
    <t>ALT-110335</t>
  </si>
  <si>
    <t>015022117</t>
  </si>
  <si>
    <t>PPR TEBO Муфта комб. разъемная нар.р.(американка) 25x1/2" прокладка кольцо (10/140шт)</t>
  </si>
  <si>
    <t>294.61 руб.</t>
  </si>
  <si>
    <t>ALT-110336</t>
  </si>
  <si>
    <t>015022105</t>
  </si>
  <si>
    <t>PPR TEBO Муфта комб. разъемная нар.р.(американка) 25x3/4" прокладка кольцо (10/120шт)</t>
  </si>
  <si>
    <t>291.43 руб.</t>
  </si>
  <si>
    <t>ALT-110337</t>
  </si>
  <si>
    <t>015022106</t>
  </si>
  <si>
    <t>PPR TEBO Муфта комб. разъемная нар.р.(американка) 25x1" прокладка кольцо (10/100шт)</t>
  </si>
  <si>
    <t>ALT-110338</t>
  </si>
  <si>
    <t>015022107</t>
  </si>
  <si>
    <t>PPR TEBO Муфта комб. разъемная нар.р.(американка) 32x3/4" прокладка кольцо (10/80шт)</t>
  </si>
  <si>
    <t>374.24 руб.</t>
  </si>
  <si>
    <t>ALT-110339</t>
  </si>
  <si>
    <t>015022108</t>
  </si>
  <si>
    <t>PPR TEBO Муфта комб. разъемная нар.р.(американка) 32x1" прокладка кольцо (10/80шт)</t>
  </si>
  <si>
    <t>393.35 руб.</t>
  </si>
  <si>
    <t>ALT-110340</t>
  </si>
  <si>
    <t>015022109</t>
  </si>
  <si>
    <t>PPR TEBO Муфта комб. разъемная нар.р.(американка) 32x1.1/4" прокладка кольцо (10/70шт)</t>
  </si>
  <si>
    <t>586.04 руб.</t>
  </si>
  <si>
    <t>ALT-110341</t>
  </si>
  <si>
    <t>015022110</t>
  </si>
  <si>
    <t>PPR TEBO Муфта комб. разъемная нар.р.(американка) 40x1.1/4" прокладка кольцо (5/40шт)</t>
  </si>
  <si>
    <t>737.33 руб.</t>
  </si>
  <si>
    <t>ALT-110342</t>
  </si>
  <si>
    <t>015022111</t>
  </si>
  <si>
    <t>PPR TEBO Муфта комб. разъемная нар.р.(американка) 50x1.1/2" прокладка кольцо (2/26шт)</t>
  </si>
  <si>
    <t>1 210.30 руб.</t>
  </si>
  <si>
    <t>ALT-110343</t>
  </si>
  <si>
    <t>015022112</t>
  </si>
  <si>
    <t>PPR TEBO Муфта комб. разъемная нар.р.(американка) 63x2" прокладка кольцо (1/13шт)</t>
  </si>
  <si>
    <t>2 149.88 руб.</t>
  </si>
  <si>
    <t>ALT-110344</t>
  </si>
  <si>
    <t>PPR TEBO Муфта пластиковая разъемная вн.р. 20x1/2"  (20/240шт)</t>
  </si>
  <si>
    <t>44.10 руб.</t>
  </si>
  <si>
    <t>ALT-110345</t>
  </si>
  <si>
    <t>PPR TEBO Муфта пластиковая разъемная вн.р. 25x3/4"  (20/200шт)</t>
  </si>
  <si>
    <t>68.25 руб.</t>
  </si>
  <si>
    <t>ALT-110346</t>
  </si>
  <si>
    <t>PPR TEBO Муфта пластиковая разъемная вн.р. 32x1"  (15/150шт)</t>
  </si>
  <si>
    <t>83.58 руб.</t>
  </si>
  <si>
    <t>ALT-110347</t>
  </si>
  <si>
    <t>PPR TEBO Муфта пластиковая разъемная нар.р. 20x1/2"  (20/240шт)</t>
  </si>
  <si>
    <t>ALT-110348</t>
  </si>
  <si>
    <t>PPR TEBO Муфта пластиковая разъемная нар.р. 25x3/4"  (20/200шт)</t>
  </si>
  <si>
    <t>68.04 руб.</t>
  </si>
  <si>
    <t>ALT-110349</t>
  </si>
  <si>
    <t>PPR TEBO Муфта пластиковая разъемная нар.р. 32x1"  (15/150шт)</t>
  </si>
  <si>
    <t>83.79 руб.</t>
  </si>
  <si>
    <t>ALT-110350</t>
  </si>
  <si>
    <t>PPR TEBO Муфта с накидной гайкой 20x1/2" (мет.штуцер)  (40/240шт)</t>
  </si>
  <si>
    <t>133.77 руб.</t>
  </si>
  <si>
    <t>ALT-110351</t>
  </si>
  <si>
    <t>PPR TEBO Муфта с накидной гайкой 20x3/4" (мет.штуцер)  (30/120шт)</t>
  </si>
  <si>
    <t>189.42 руб.</t>
  </si>
  <si>
    <t>ALT-110352</t>
  </si>
  <si>
    <t>PPR TEBO Муфта с накидной гайкой 25x3/4" (мет.штуцер)  (25/150шт)</t>
  </si>
  <si>
    <t>201.39 руб.</t>
  </si>
  <si>
    <t>ALT-110353</t>
  </si>
  <si>
    <t>PPR TEBO Муфта с накидной гайкой 25x1" (мет.штуцер)  (20/80шт)</t>
  </si>
  <si>
    <t>318.57 руб.</t>
  </si>
  <si>
    <t>ALT-110354</t>
  </si>
  <si>
    <t>PPR TEBO Муфта с накидной гайкой 32x1" (мет.штуцер)  (15/75шт)</t>
  </si>
  <si>
    <t>319.41 руб.</t>
  </si>
  <si>
    <t>ALT-110355</t>
  </si>
  <si>
    <t>PPR TEBO Муфта с накидной гайкой 32x1.1/4" (мет.штуцер)  (10/50шт)</t>
  </si>
  <si>
    <t>459.06 руб.</t>
  </si>
  <si>
    <t>ALT-110356</t>
  </si>
  <si>
    <t>PPR TEBO Муфта с накидной гайкой 20x1/2"  (50/300шт)</t>
  </si>
  <si>
    <t>ALT-110357</t>
  </si>
  <si>
    <t>PPR TEBO Муфта с накидной гайкой 20x3/4"  (40/200шт)</t>
  </si>
  <si>
    <t>86.94 руб.</t>
  </si>
  <si>
    <t>ALT-110358</t>
  </si>
  <si>
    <t>PPR TEBO Муфта с накидной гайкой 25x3/4"  (40/160шт)</t>
  </si>
  <si>
    <t>93.66 руб.</t>
  </si>
  <si>
    <t>ALT-110359</t>
  </si>
  <si>
    <t>PPR TEBO Штуцер с накидной гайкой 20*1/2"  (50/400шт)</t>
  </si>
  <si>
    <t>140.14 руб.</t>
  </si>
  <si>
    <t>ALT-110360</t>
  </si>
  <si>
    <t>PPR TEBO Штуцер с накидной гайкой 20*3/4"  (60/360шт)</t>
  </si>
  <si>
    <t>141.73 руб.</t>
  </si>
  <si>
    <t>ALT-110361</t>
  </si>
  <si>
    <t>PPR TEBO Штуцер с накидной гайкой 25*1/2"  (40/240шт)</t>
  </si>
  <si>
    <t>179.95 руб.</t>
  </si>
  <si>
    <t>ALT-110362</t>
  </si>
  <si>
    <t>PPR TEBO Штуцер с накидной гайкой 25*1"  (40/240шт)</t>
  </si>
  <si>
    <t>187.92 руб.</t>
  </si>
  <si>
    <t>ALT-110363</t>
  </si>
  <si>
    <t>PPR TEBO Штуцер с накидной гайкой 32*1 1/4"  (20/80шт)</t>
  </si>
  <si>
    <t>288.24 руб.</t>
  </si>
  <si>
    <t>ALT-110364</t>
  </si>
  <si>
    <t>PPR TEBO Штуцер евроконус с накидной гайкой 20x3/4"  (20/360шт)</t>
  </si>
  <si>
    <t>86.10 руб.</t>
  </si>
  <si>
    <t>ALT-110365</t>
  </si>
  <si>
    <t>PPR TEBO Штуцер для присоединения счетчика воды 20  (120/600шт)</t>
  </si>
  <si>
    <t>19.11 руб.</t>
  </si>
  <si>
    <t>ALT-110366</t>
  </si>
  <si>
    <t>PPR TEBO Угольник 20  45град.  (50/700шт)</t>
  </si>
  <si>
    <t>6.57 руб.</t>
  </si>
  <si>
    <t>ALT-110367</t>
  </si>
  <si>
    <t>PPR TEBO Угольник 25  45град.  (50/400шт)</t>
  </si>
  <si>
    <t>10.85 руб.</t>
  </si>
  <si>
    <t>ALT-110368</t>
  </si>
  <si>
    <t>PPR TEBO Угольник 32  45град.  (20/220шт)</t>
  </si>
  <si>
    <t>18.86 руб.</t>
  </si>
  <si>
    <t>ALT-110369</t>
  </si>
  <si>
    <t>PPR TEBO Угольник 40  45град.  (10/120шт)</t>
  </si>
  <si>
    <t>36.33 руб.</t>
  </si>
  <si>
    <t>ALT-110370</t>
  </si>
  <si>
    <t>PPR TEBO Угольник 50  45град.  (8/72шт)</t>
  </si>
  <si>
    <t>60.27 руб.</t>
  </si>
  <si>
    <t>ALT-110371</t>
  </si>
  <si>
    <t>PPR TEBO Угольник 63  45град.  (4/40шт)</t>
  </si>
  <si>
    <t>106.68 руб.</t>
  </si>
  <si>
    <t>ALT-110372</t>
  </si>
  <si>
    <t>PPR TEBO Угольник 75  45град.  (2/18шт)</t>
  </si>
  <si>
    <t>247.17 руб.</t>
  </si>
  <si>
    <t>ALT-110373</t>
  </si>
  <si>
    <t>PPR TEBO Угольник 90  45град.  (1/12шт)</t>
  </si>
  <si>
    <t>391.86 руб.</t>
  </si>
  <si>
    <t>ALT-110374</t>
  </si>
  <si>
    <t>PPR TEBO Угольник 110  45град.  (1/6шт)</t>
  </si>
  <si>
    <t>551.04 руб.</t>
  </si>
  <si>
    <t>ALT-110375</t>
  </si>
  <si>
    <t>PPR TEBO Угольник 125  45град.  (1/4шт)</t>
  </si>
  <si>
    <t>1 630.02 руб.</t>
  </si>
  <si>
    <t>ALT-110376</t>
  </si>
  <si>
    <t>PPR TEBO Угольник 160  45град.  (1/2шт)</t>
  </si>
  <si>
    <t>1 970.22 руб.</t>
  </si>
  <si>
    <t>ALT-110377</t>
  </si>
  <si>
    <t>PPR TEBO Угольник 20  90град.  (50/550шт)</t>
  </si>
  <si>
    <t>7.55 руб.</t>
  </si>
  <si>
    <t>ALT-110378</t>
  </si>
  <si>
    <t>PPR TEBO Угольник 25  90град.  (30/360шт)</t>
  </si>
  <si>
    <t>12.28 руб.</t>
  </si>
  <si>
    <t>ALT-110379</t>
  </si>
  <si>
    <t>PPR TEBO Угольник 32  90град.  (20/160шт)</t>
  </si>
  <si>
    <t>24.93 руб.</t>
  </si>
  <si>
    <t>ALT-110380</t>
  </si>
  <si>
    <t>PPR TEBO Угольник 40  90град.  (10/110шт)</t>
  </si>
  <si>
    <t>42.00 руб.</t>
  </si>
  <si>
    <t>ALT-110381</t>
  </si>
  <si>
    <t>PPR TEBO Угольник 50  90град.  (5/50шт)</t>
  </si>
  <si>
    <t>ALT-110382</t>
  </si>
  <si>
    <t>PPR TEBO Угольник 63  90град.  (4/32шт)</t>
  </si>
  <si>
    <t>140.70 руб.</t>
  </si>
  <si>
    <t>ALT-110383</t>
  </si>
  <si>
    <t>PPR TEBO Угольник 75  90град.  (2/20шт)</t>
  </si>
  <si>
    <t>270.69 руб.</t>
  </si>
  <si>
    <t>ALT-110384</t>
  </si>
  <si>
    <t>PPR TEBO Угольник 90  90град.  (1/10шт)</t>
  </si>
  <si>
    <t>410.55 руб.</t>
  </si>
  <si>
    <t>ALT-110385</t>
  </si>
  <si>
    <t>PPR TEBO Угольник 110  90град.  (1/4шт)</t>
  </si>
  <si>
    <t>593.46 руб.</t>
  </si>
  <si>
    <t>ALT-110386</t>
  </si>
  <si>
    <t>PPR TEBO Угольник 125  90град.  (1/4шт)</t>
  </si>
  <si>
    <t>1 447.95 руб.</t>
  </si>
  <si>
    <t>ALT-110387</t>
  </si>
  <si>
    <t>PPR TEBO Угольник 160  90град.  (1/2шт)</t>
  </si>
  <si>
    <t>2 605.68 руб.</t>
  </si>
  <si>
    <t>ALT-110388</t>
  </si>
  <si>
    <t>PPR TEBO Угольник переходной 25/20 90 град. вн./вн.  (30/360шт)</t>
  </si>
  <si>
    <t>11.55 руб.</t>
  </si>
  <si>
    <t>ALT-110389</t>
  </si>
  <si>
    <t>PPR TEBO Угольник переходной 32/20 90 град. вн./вн.  (30/300шт)</t>
  </si>
  <si>
    <t>ALT-110390</t>
  </si>
  <si>
    <t>PPR TEBO Угольник переходной 32/25 90 град. вн./вн.  (25/225шт)</t>
  </si>
  <si>
    <t>ALT-110391</t>
  </si>
  <si>
    <t>015030302</t>
  </si>
  <si>
    <t>PPR TEBO Угольник переход 20 90 град. вн./нар.  (50/400шт)</t>
  </si>
  <si>
    <t>11.13 руб.</t>
  </si>
  <si>
    <t>ALT-110392</t>
  </si>
  <si>
    <t>PPR TEBO Угольник переход 25 90 град. вн./нар.  (30/300шт)</t>
  </si>
  <si>
    <t>15.75 руб.</t>
  </si>
  <si>
    <t>ALT-110393</t>
  </si>
  <si>
    <t>PPR TEBO Угольник переходной 25/20 90 град. вн./нар.  (40/400шт)</t>
  </si>
  <si>
    <t>14.70 руб.</t>
  </si>
  <si>
    <t>ALT-110394</t>
  </si>
  <si>
    <t>PPR TEBO Угольник переходной 32/20 90 град. вн./нар.  (30/300шт)</t>
  </si>
  <si>
    <t>17.22 руб.</t>
  </si>
  <si>
    <t>ALT-110395</t>
  </si>
  <si>
    <t>PPR TEBO Угольник переходной 32/25 90 град. вн./нар.  (25/250шт)</t>
  </si>
  <si>
    <t>21.42 руб.</t>
  </si>
  <si>
    <t>ALT-110396</t>
  </si>
  <si>
    <t>PPR TEBO Угольник комб. вн.р. 20x1/2"  (20/160шт)</t>
  </si>
  <si>
    <t>93.38 руб.</t>
  </si>
  <si>
    <t>ALT-110397</t>
  </si>
  <si>
    <t>PPR TEBO Угольник комб. вн.р. 20x3/4"  (20/140шт)</t>
  </si>
  <si>
    <t>92.19 руб.</t>
  </si>
  <si>
    <t>ALT-110398</t>
  </si>
  <si>
    <t>PPR TEBO Угольник комб. вн.р. 25x1/2"  (20/120шт)</t>
  </si>
  <si>
    <t>71.82 руб.</t>
  </si>
  <si>
    <t>ALT-110399</t>
  </si>
  <si>
    <t>PPR TEBO Угольник комб. вн.р. 25x3/4"  (20/100шт)</t>
  </si>
  <si>
    <t>94.29 руб.</t>
  </si>
  <si>
    <t>ALT-110400</t>
  </si>
  <si>
    <t>PPR TEBO Угольник комб. вн.р. 32x1/2"  (15/90шт)</t>
  </si>
  <si>
    <t>92.82 руб.</t>
  </si>
  <si>
    <t>ALT-110401</t>
  </si>
  <si>
    <t>PPR TEBO Угольник комб. вн.р. 32x3/4"  (20/80шт)</t>
  </si>
  <si>
    <t>108.57 руб.</t>
  </si>
  <si>
    <t>ALT-110402</t>
  </si>
  <si>
    <t>PPR TEBO Угольник комб. вн.р. 32x1"  (10/50шт)</t>
  </si>
  <si>
    <t>192.99 руб.</t>
  </si>
  <si>
    <t>ALT-110403</t>
  </si>
  <si>
    <t>PPR TEBO Угольник комб. нар.р. 20x1/2"  (20/160шт)</t>
  </si>
  <si>
    <t>119.99 руб.</t>
  </si>
  <si>
    <t>ALT-110404</t>
  </si>
  <si>
    <t>PPR TEBO Угольник комб. нар.р. 20x3/4"  (20/120шт)</t>
  </si>
  <si>
    <t>119.70 руб.</t>
  </si>
  <si>
    <t>ALT-110405</t>
  </si>
  <si>
    <t>PPR TEBO Угольник комб. нар.р. 25x1/2"  (20/120шт)</t>
  </si>
  <si>
    <t>87.36 руб.</t>
  </si>
  <si>
    <t>ALT-110406</t>
  </si>
  <si>
    <t>PPR TEBO Угольник комб. нар.р. 25x3/4"  (15/90шт)</t>
  </si>
  <si>
    <t>118.23 руб.</t>
  </si>
  <si>
    <t>ALT-110407</t>
  </si>
  <si>
    <t>PPR TEBO Угольник комб. нар.р. 32x1/2"  (15/90шт)</t>
  </si>
  <si>
    <t>115.92 руб.</t>
  </si>
  <si>
    <t>ALT-110408</t>
  </si>
  <si>
    <t>PPR TEBO Угольник комб. нар.р. 32x3/4"  (10/70шт)</t>
  </si>
  <si>
    <t>139.65 руб.</t>
  </si>
  <si>
    <t>ALT-110409</t>
  </si>
  <si>
    <t>PPR TEBO Угольник комб. нар.р. 32x1"  (10/50шт)</t>
  </si>
  <si>
    <t>211.26 руб.</t>
  </si>
  <si>
    <t>ALT-110410</t>
  </si>
  <si>
    <t>PPR TEBO Угольник комб. вн.р. 32x1" под ключ  (10/40шт)</t>
  </si>
  <si>
    <t>428.38 руб.</t>
  </si>
  <si>
    <t>ALT-110411</t>
  </si>
  <si>
    <t>PPR TEBO Угольник комб. нар.р. 32x1" под ключ  (10/40шт)</t>
  </si>
  <si>
    <t>539.86 руб.</t>
  </si>
  <si>
    <t>ALT-110412</t>
  </si>
  <si>
    <t>PPR TEBO Угольник комб. вн.р. 20x1/2" с креплением  (20/100шт)</t>
  </si>
  <si>
    <t>96.04 руб.</t>
  </si>
  <si>
    <t>ALT-110413</t>
  </si>
  <si>
    <t>PPR TEBO Угольник комб. вн.р. 25x1/2" с креплением  (10/100шт)</t>
  </si>
  <si>
    <t>80.64 руб.</t>
  </si>
  <si>
    <t>ALT-110414</t>
  </si>
  <si>
    <t>PPR TEBO Угольник комб. вн.р. 20x1/2" с креплением для гипсокартона  (10/60шт)</t>
  </si>
  <si>
    <t>214.62 руб.</t>
  </si>
  <si>
    <t>ALT-110415</t>
  </si>
  <si>
    <t>PPR TEBO Угольник комб. нар.р. 20x1/2" с креплением  (20/80шт)</t>
  </si>
  <si>
    <t>125.51 руб.</t>
  </si>
  <si>
    <t>ALT-110416</t>
  </si>
  <si>
    <t>PPR TEBO Угольник комб. нар.р. 25x1/2" с креплением  (10/80шт)</t>
  </si>
  <si>
    <t>89.04 руб.</t>
  </si>
  <si>
    <t>ALT-110417</t>
  </si>
  <si>
    <t>PPR TEBO Комплект универсальный настенный вн.р. 20x1/2"  (6/36шт)</t>
  </si>
  <si>
    <t>375.83 руб.</t>
  </si>
  <si>
    <t>ALT-110418</t>
  </si>
  <si>
    <t>PPR TEBO Комплект универсальный настенный вн.р. 25x1/2"  (5/30шт)</t>
  </si>
  <si>
    <t>441.12 руб.</t>
  </si>
  <si>
    <t>ALT-110419</t>
  </si>
  <si>
    <t>PPR TEBO Планка с водорозетками настенный комп. для смесителя вн.р. 20х1/2"  (6/30шт)</t>
  </si>
  <si>
    <t>ALT-110420</t>
  </si>
  <si>
    <t>PPR TEBO Угольник с накидной гайкой 20x1/2" (метал. штуцер)  (25/200шт)</t>
  </si>
  <si>
    <t>145.32 руб.</t>
  </si>
  <si>
    <t>ALT-110421</t>
  </si>
  <si>
    <t>PPR TEBO Угольник с накидной гайкой 20x3/4" (метал. штуцер)  (30/120шт)</t>
  </si>
  <si>
    <t>199.71 руб.</t>
  </si>
  <si>
    <t>ALT-110422</t>
  </si>
  <si>
    <t>PPR TEBO Угольник с накидной гайкой 25x3/4" (метал. штуцер)  (20/100шт)</t>
  </si>
  <si>
    <t>210.00 руб.</t>
  </si>
  <si>
    <t>ALT-110423</t>
  </si>
  <si>
    <t>PPR TEBO Угольник с накидной гайкой 25x1" (метал. штуцер)  (15/60шт)</t>
  </si>
  <si>
    <t>345.24 руб.</t>
  </si>
  <si>
    <t>ALT-110424</t>
  </si>
  <si>
    <t>PPR TEBO Угольник с накидной гайкой 32x1" (метал. штуцер)  (10/50шт)</t>
  </si>
  <si>
    <t>363.09 руб.</t>
  </si>
  <si>
    <t>ALT-110425</t>
  </si>
  <si>
    <t>PPR TEBO Угольник с накидной гайкой 32x1.1/4" (метал. штуцер)  (10/40шт)</t>
  </si>
  <si>
    <t>493.08 руб.</t>
  </si>
  <si>
    <t>ALT-110426</t>
  </si>
  <si>
    <t>PPR TEBO Тройник 20  (30/390шт)</t>
  </si>
  <si>
    <t>9.90 руб.</t>
  </si>
  <si>
    <t>ALT-110427</t>
  </si>
  <si>
    <t>PPR TEBO Тройник 25  (25/250шт)</t>
  </si>
  <si>
    <t>17.10 руб.</t>
  </si>
  <si>
    <t>ALT-110428</t>
  </si>
  <si>
    <t>PPR TEBO Тройник 32  (15/120шт)</t>
  </si>
  <si>
    <t>32.67 руб.</t>
  </si>
  <si>
    <t>ALT-110429</t>
  </si>
  <si>
    <t>PPR TEBO Тройник 40  (5/80шт)</t>
  </si>
  <si>
    <t>50.19 руб.</t>
  </si>
  <si>
    <t>ALT-110430</t>
  </si>
  <si>
    <t>PPR TEBO Тройник 50  (4/40шт)</t>
  </si>
  <si>
    <t>90.30 руб.</t>
  </si>
  <si>
    <t>ALT-110431</t>
  </si>
  <si>
    <t>PPR TEBO Тройник 63  (2/24шт)</t>
  </si>
  <si>
    <t>170.10 руб.</t>
  </si>
  <si>
    <t>ALT-110432</t>
  </si>
  <si>
    <t>PPR TEBO Тройник 75  (2/16шт)</t>
  </si>
  <si>
    <t>310.38 руб.</t>
  </si>
  <si>
    <t>ALT-110433</t>
  </si>
  <si>
    <t>PPR TEBO Тройник 90  (1/10шт)</t>
  </si>
  <si>
    <t>610.89 руб.</t>
  </si>
  <si>
    <t>ALT-110434</t>
  </si>
  <si>
    <t>PPR TEBO Тройник 110  (1/4шт)</t>
  </si>
  <si>
    <t>878.43 руб.</t>
  </si>
  <si>
    <t>ALT-110435</t>
  </si>
  <si>
    <t>PPR TEBO Тройник 125  (1/3шт)</t>
  </si>
  <si>
    <t>1 870.68 руб.</t>
  </si>
  <si>
    <t>ALT-110436</t>
  </si>
  <si>
    <t>PPR TEBO Тройник 160  (1/2шт)</t>
  </si>
  <si>
    <t>2 559.90 руб.</t>
  </si>
  <si>
    <t>ALT-110437</t>
  </si>
  <si>
    <t>PPR TEBO Тройник 20x25x20  (30/360шт)</t>
  </si>
  <si>
    <t>ALT-110438</t>
  </si>
  <si>
    <t>PPR TEBO Тройник 25x20x20  (30/300шт)</t>
  </si>
  <si>
    <t>17.43 руб.</t>
  </si>
  <si>
    <t>ALT-110439</t>
  </si>
  <si>
    <t>PPR TEBO Тройник 25x20x25  (25/275шт)</t>
  </si>
  <si>
    <t>16.02 руб.</t>
  </si>
  <si>
    <t>ALT-110440</t>
  </si>
  <si>
    <t>PPR TEBO Тройник 25x25x20  (30/300шт)</t>
  </si>
  <si>
    <t>20.37 руб.</t>
  </si>
  <si>
    <t>ALT-110441</t>
  </si>
  <si>
    <t>PPR TEBO Тройник 32x20x20  (20/200шт)</t>
  </si>
  <si>
    <t>22.68 руб.</t>
  </si>
  <si>
    <t>ALT-110442</t>
  </si>
  <si>
    <t>PPR TEBO Тройник 32x20x25  (20/200шт)</t>
  </si>
  <si>
    <t>30.87 руб.</t>
  </si>
  <si>
    <t>ALT-110443</t>
  </si>
  <si>
    <t>PPR TEBO Тройник 32x20x32  (15/150шт)</t>
  </si>
  <si>
    <t>27.72 руб.</t>
  </si>
  <si>
    <t>ALT-110444</t>
  </si>
  <si>
    <t>PPR TEBO Тройник 32x25x20  (20/200шт)</t>
  </si>
  <si>
    <t>25.62 руб.</t>
  </si>
  <si>
    <t>ALT-110445</t>
  </si>
  <si>
    <t>PPR TEBO Тройник 32x25x25  (20/160шт)</t>
  </si>
  <si>
    <t>26.67 руб.</t>
  </si>
  <si>
    <t>ALT-110446</t>
  </si>
  <si>
    <t>PPR TEBO Тройник 32x25x32  (15/150шт)</t>
  </si>
  <si>
    <t>27.90 руб.</t>
  </si>
  <si>
    <t>ALT-110447</t>
  </si>
  <si>
    <t>PPR TEBO Тройник 32x50x32  (6/60шт)</t>
  </si>
  <si>
    <t>73.50 руб.</t>
  </si>
  <si>
    <t>ALT-110448</t>
  </si>
  <si>
    <t>PPR TEBO Тройник 40x20x40  (10/100шт)</t>
  </si>
  <si>
    <t>ALT-110449</t>
  </si>
  <si>
    <t>PPR TEBO Тройник 40x25x40  (10/100шт)</t>
  </si>
  <si>
    <t>ALT-110450</t>
  </si>
  <si>
    <t>PPR TEBO Тройник 40x32x32  (10/100шт)</t>
  </si>
  <si>
    <t>47.67 руб.</t>
  </si>
  <si>
    <t>ALT-110451</t>
  </si>
  <si>
    <t>PPR TEBO Тройник 40x32x40  (10/80шт)</t>
  </si>
  <si>
    <t>ALT-110452</t>
  </si>
  <si>
    <t>PPR TEBO Тройник 40x50x40  (5/50шт)</t>
  </si>
  <si>
    <t>ALT-110453</t>
  </si>
  <si>
    <t>PPR TEBO Тройник 50x20x50  (9/72шт)</t>
  </si>
  <si>
    <t>55.02 руб.</t>
  </si>
  <si>
    <t>ALT-110454</t>
  </si>
  <si>
    <t>PPR TEBO Тройник 50x25x50  (9/72шт)</t>
  </si>
  <si>
    <t>75.60 руб.</t>
  </si>
  <si>
    <t>ALT-110455</t>
  </si>
  <si>
    <t>PPR TEBO Тройник 50x32x32  (6/60шт)</t>
  </si>
  <si>
    <t>70.35 руб.</t>
  </si>
  <si>
    <t>ALT-110456</t>
  </si>
  <si>
    <t>PPR TEBO Тройник 50x32x40  (8/64шт)</t>
  </si>
  <si>
    <t>ALT-110457</t>
  </si>
  <si>
    <t>PPR TEBO Тройник 50x32x50  (6/60шт)</t>
  </si>
  <si>
    <t>83.16 руб.</t>
  </si>
  <si>
    <t>ALT-110458</t>
  </si>
  <si>
    <t>PPR TEBO Тройник 50x40x32  (6/60шт)</t>
  </si>
  <si>
    <t>76.23 руб.</t>
  </si>
  <si>
    <t>ALT-110459</t>
  </si>
  <si>
    <t>PPR TEBO Тройник 50x40x40  (5/50шт)</t>
  </si>
  <si>
    <t>88.20 руб.</t>
  </si>
  <si>
    <t>ALT-110460</t>
  </si>
  <si>
    <t>PPR TEBO Тройник 50x40x50  (6/60шт)</t>
  </si>
  <si>
    <t>96.39 руб.</t>
  </si>
  <si>
    <t>ALT-110461</t>
  </si>
  <si>
    <t>PPR TEBO Тройник 50x50x32  (6/60шт)</t>
  </si>
  <si>
    <t>93.45 руб.</t>
  </si>
  <si>
    <t>ALT-110462</t>
  </si>
  <si>
    <t>PPR TEBO Тройник 50x50x40  (5/40шт)</t>
  </si>
  <si>
    <t>ALT-110463</t>
  </si>
  <si>
    <t>PPR TEBO Тройник 63x20x63  (4/48шт)</t>
  </si>
  <si>
    <t>124.32 руб.</t>
  </si>
  <si>
    <t>ALT-110464</t>
  </si>
  <si>
    <t>PPR TEBO Тройник 63x25x63  (4/32шт)</t>
  </si>
  <si>
    <t>129.15 руб.</t>
  </si>
  <si>
    <t>ALT-110465</t>
  </si>
  <si>
    <t>PPR TEBO Тройник 63x32x63  (4/32шт)</t>
  </si>
  <si>
    <t>131.88 руб.</t>
  </si>
  <si>
    <t>ALT-110466</t>
  </si>
  <si>
    <t>PPR TEBO Тройник 63x40x63  (4/32шт)</t>
  </si>
  <si>
    <t>152.88 руб.</t>
  </si>
  <si>
    <t>ALT-110467</t>
  </si>
  <si>
    <t>PPR TEBO Тройник 63x50x63  (2/32шт)</t>
  </si>
  <si>
    <t>165.27 руб.</t>
  </si>
  <si>
    <t>ALT-110468</t>
  </si>
  <si>
    <t>PPR TEBO Тройник 75x32x75  (2/24шт)</t>
  </si>
  <si>
    <t>212.31 руб.</t>
  </si>
  <si>
    <t>ALT-110469</t>
  </si>
  <si>
    <t>PPR TEBO Тройник 75x40x75  (2/20шт)</t>
  </si>
  <si>
    <t>271.11 руб.</t>
  </si>
  <si>
    <t>ALT-110470</t>
  </si>
  <si>
    <t>PPR TEBO Тройник 75x50x75  (2/20шт)</t>
  </si>
  <si>
    <t>305.97 руб.</t>
  </si>
  <si>
    <t>ALT-110471</t>
  </si>
  <si>
    <t>PPR TEBO Тройник 75x63x75  (2/18шт)</t>
  </si>
  <si>
    <t>336.84 руб.</t>
  </si>
  <si>
    <t>ALT-110472</t>
  </si>
  <si>
    <t>PPR TEBO Тройник 90x32x90  (1/18шт)</t>
  </si>
  <si>
    <t>340.83 руб.</t>
  </si>
  <si>
    <t>ALT-110473</t>
  </si>
  <si>
    <t>PPR TEBO Тройник 90x40x90  (1/12шт)</t>
  </si>
  <si>
    <t>378.63 руб.</t>
  </si>
  <si>
    <t>ALT-110474</t>
  </si>
  <si>
    <t>PPR TEBO Тройник 90x50x90  (1/12шт)</t>
  </si>
  <si>
    <t>535.29 руб.</t>
  </si>
  <si>
    <t>ALT-110475</t>
  </si>
  <si>
    <t>PPR TEBO Тройник 90x63x90  (1/12шт)</t>
  </si>
  <si>
    <t>561.12 руб.</t>
  </si>
  <si>
    <t>ALT-110476</t>
  </si>
  <si>
    <t>PPR TEBO Тройник 90x75x90  (1/12шт)</t>
  </si>
  <si>
    <t>596.40 руб.</t>
  </si>
  <si>
    <t>ALT-110477</t>
  </si>
  <si>
    <t>PPR TEBO Тройник 110x50x110  (1/8шт)</t>
  </si>
  <si>
    <t>629.16 руб.</t>
  </si>
  <si>
    <t>ALT-110478</t>
  </si>
  <si>
    <t>PPR TEBO Тройник 110x63x110  (1/6шт)</t>
  </si>
  <si>
    <t>656.46 руб.</t>
  </si>
  <si>
    <t>ALT-110479</t>
  </si>
  <si>
    <t>PPR TEBO Тройник 110x75x110  (1/6шт)</t>
  </si>
  <si>
    <t>880.53 руб.</t>
  </si>
  <si>
    <t>ALT-110480</t>
  </si>
  <si>
    <t>PPR TEBO Тройник 110x90x110  (1/5шт)</t>
  </si>
  <si>
    <t>760.62 руб.</t>
  </si>
  <si>
    <t>ALT-110481</t>
  </si>
  <si>
    <t>PPR TEBO Тройник 160x110x160  (1/2шт)</t>
  </si>
  <si>
    <t>1 916.88 руб.</t>
  </si>
  <si>
    <t>ALT-110482</t>
  </si>
  <si>
    <t>PPR TEBO Тройник двухплоскостной 20  (50/400шт)</t>
  </si>
  <si>
    <t>15.12 руб.</t>
  </si>
  <si>
    <t>ALT-110483</t>
  </si>
  <si>
    <t>PPR TEBO Тройник двухплоскостной 25  (25/250шт)</t>
  </si>
  <si>
    <t>20.58 руб.</t>
  </si>
  <si>
    <t>ALT-110484</t>
  </si>
  <si>
    <t>PPR TEBO Тройник комб. вн.р. 20x1/2"  (20/120шт)</t>
  </si>
  <si>
    <t>77.49 руб.</t>
  </si>
  <si>
    <t>ALT-110485</t>
  </si>
  <si>
    <t>PPR TEBO Тройник комб. вн.р. 20x3/4"  (15/90шт)</t>
  </si>
  <si>
    <t>84.00 руб.</t>
  </si>
  <si>
    <t>ALT-110486</t>
  </si>
  <si>
    <t>PPR TEBO Тройник комб. вн.р. 25x1/2"  (20/100шт)</t>
  </si>
  <si>
    <t>79.17 руб.</t>
  </si>
  <si>
    <t>ALT-110487</t>
  </si>
  <si>
    <t>PPR TEBO Тройник комб. вн.р. 25x3/4"  (10/80шт)</t>
  </si>
  <si>
    <t>102.06 руб.</t>
  </si>
  <si>
    <t>ALT-110488</t>
  </si>
  <si>
    <t>PPR TEBO Тройник комб. вн.р. 32x1/2"  (10/70шт)</t>
  </si>
  <si>
    <t>107.52 руб.</t>
  </si>
  <si>
    <t>ALT-110489</t>
  </si>
  <si>
    <t>PPR TEBO Тройник комб. вн.р. 32x3/4"  (10/60шт)</t>
  </si>
  <si>
    <t>118.86 руб.</t>
  </si>
  <si>
    <t>ALT-110490</t>
  </si>
  <si>
    <t>PPR TEBO Тройник комб. вн.р. 32x1"  (10/50шт)</t>
  </si>
  <si>
    <t>ALT-110491</t>
  </si>
  <si>
    <t>PPR TEBO Тройник комб. нар.р. 20x1/2"  (20/120шт)</t>
  </si>
  <si>
    <t>91.77 руб.</t>
  </si>
  <si>
    <t>ALT-110492</t>
  </si>
  <si>
    <t>PPR TEBO Тройник комб. нар.р. 20x3/4"  (15/90шт)</t>
  </si>
  <si>
    <t>92.40 руб.</t>
  </si>
  <si>
    <t>ALT-110493</t>
  </si>
  <si>
    <t>PPR TEBO Тройник комб. нар.р. 25x1/2"  (15/90шт)</t>
  </si>
  <si>
    <t>ALT-110494</t>
  </si>
  <si>
    <t>PPR TEBO Тройник комб. нар.р. 25x3/4"  (10/80шт)</t>
  </si>
  <si>
    <t>120.75 руб.</t>
  </si>
  <si>
    <t>ALT-110495</t>
  </si>
  <si>
    <t>PPR TEBO Тройник комб. нар.р. 32x1/2"  (10/70шт)</t>
  </si>
  <si>
    <t>112.35 руб.</t>
  </si>
  <si>
    <t>ALT-110496</t>
  </si>
  <si>
    <t>PPR TEBO Тройник комб. нар.р. 32x3/4"  (10/60шт)</t>
  </si>
  <si>
    <t>137.76 руб.</t>
  </si>
  <si>
    <t>ALT-110497</t>
  </si>
  <si>
    <t>PPR TEBO Тройник комб. нар.р. 32x1"  (10/40шт)</t>
  </si>
  <si>
    <t>209.79 руб.</t>
  </si>
  <si>
    <t>ALT-110498</t>
  </si>
  <si>
    <t>PPR TEBO Тройник с накидной гайкой 20x1/2" (метал. штуцер)  (25/150шт)</t>
  </si>
  <si>
    <t>145.74 руб.</t>
  </si>
  <si>
    <t>ALT-110499</t>
  </si>
  <si>
    <t>PPR TEBO Тройник с накидной гайкой 20x3/4" (метал. штуцер)  (20/80шт)</t>
  </si>
  <si>
    <t>233.31 руб.</t>
  </si>
  <si>
    <t>ALT-110500</t>
  </si>
  <si>
    <t>PPR TEBO Тройник с накидной гайкой 25x3/4" (метал. штуцер)  (15/75шт)</t>
  </si>
  <si>
    <t>214.41 руб.</t>
  </si>
  <si>
    <t>ALT-110501</t>
  </si>
  <si>
    <t>PPR TEBO Тройник с накидной гайкой 25x1" (метал. штуцер)  (15/60шт)</t>
  </si>
  <si>
    <t>374.64 руб.</t>
  </si>
  <si>
    <t>ALT-110502</t>
  </si>
  <si>
    <t>PPR TEBO Тройник с накидной гайкой 32x1" (метал. штуцер)  (10/40шт)</t>
  </si>
  <si>
    <t>369.81 руб.</t>
  </si>
  <si>
    <t>ALT-110503</t>
  </si>
  <si>
    <t>PPR TEBO Тройник с накидной гайкой 32x1.1/4" (метал. штуцер)  (6/30шт)</t>
  </si>
  <si>
    <t>591.78 руб.</t>
  </si>
  <si>
    <t>ALT-110504</t>
  </si>
  <si>
    <t>PPR TEBO Распределительный блок 25x20  (6/60шт)</t>
  </si>
  <si>
    <t>76.86 руб.</t>
  </si>
  <si>
    <t>ALT-110505</t>
  </si>
  <si>
    <t>PPR TEBO Вентиль 20  (5/50шт)</t>
  </si>
  <si>
    <t>ALT-110506</t>
  </si>
  <si>
    <t>PPR TEBO Вентиль 25  (5/40шт)</t>
  </si>
  <si>
    <t>ALT-110507</t>
  </si>
  <si>
    <t>PPR TEBO Вентиль 32  (6/36шт)</t>
  </si>
  <si>
    <t>687.33 руб.</t>
  </si>
  <si>
    <t>ALT-110508</t>
  </si>
  <si>
    <t>PPR TEBO Вентиль 40  (4/16шт)</t>
  </si>
  <si>
    <t>917.70 руб.</t>
  </si>
  <si>
    <t>ALT-110509</t>
  </si>
  <si>
    <t>PPR TEBO Вентиль 50  (3/12шт)</t>
  </si>
  <si>
    <t>1 268.82 руб.</t>
  </si>
  <si>
    <t>ALT-110510</t>
  </si>
  <si>
    <t>PPR TEBO Вентиль 63  (2/8шт)</t>
  </si>
  <si>
    <t>2 618.70 руб.</t>
  </si>
  <si>
    <t>ALT-110511</t>
  </si>
  <si>
    <t>PPR TEBO Вентиль 75  (1/4шт)</t>
  </si>
  <si>
    <t>2 622.27 руб.</t>
  </si>
  <si>
    <t>ALT-110512</t>
  </si>
  <si>
    <t>PPR TEBO Вентиль ручной балансировочный PP-R 25  (5/30шт)</t>
  </si>
  <si>
    <t>568.89 руб.</t>
  </si>
  <si>
    <t>ALT-110513</t>
  </si>
  <si>
    <t>PPR TEBO Вентиль ручной балансировочный PP-R 32  (3/18шт)</t>
  </si>
  <si>
    <t>778.05 руб.</t>
  </si>
  <si>
    <t>ALT-110514</t>
  </si>
  <si>
    <t>PPR TEBO Вентиль для радиаторов прямой 20x1/2"  (10/60шт)</t>
  </si>
  <si>
    <t>509.46 руб.</t>
  </si>
  <si>
    <t>ALT-110515</t>
  </si>
  <si>
    <t>PPR TEBO Вентиль для радиаторов прямой 25x3/4"  (5/50шт)</t>
  </si>
  <si>
    <t>625.80 руб.</t>
  </si>
  <si>
    <t>ALT-110516</t>
  </si>
  <si>
    <t>PPR TEBO Вентиль для радиаторов угловой 20x1/2"  (10/60шт)</t>
  </si>
  <si>
    <t>526.47 руб.</t>
  </si>
  <si>
    <t>ALT-110517</t>
  </si>
  <si>
    <t>PPR TEBO Вентиль для радиаторов угловой 25x3/4"  (5/45шт)</t>
  </si>
  <si>
    <t>639.87 руб.</t>
  </si>
  <si>
    <t>ALT-110518</t>
  </si>
  <si>
    <t>PPR TEBO Кран шаровой 20 полнопроходной (10/60шт)</t>
  </si>
  <si>
    <t>ALT-110519</t>
  </si>
  <si>
    <t>Т-ППР.Кш.ПП.25.Б.РФ</t>
  </si>
  <si>
    <t>PPR TEBO Кран шаровой 25 полнопроходной (10/50шт)</t>
  </si>
  <si>
    <t>296.10 руб.</t>
  </si>
  <si>
    <t>ALT-110520</t>
  </si>
  <si>
    <t>PPR TEBO Кран шаровой 32 полнопроходной (5/30шт)</t>
  </si>
  <si>
    <t>491.40 руб.</t>
  </si>
  <si>
    <t>ALT-110521</t>
  </si>
  <si>
    <t>PPR TEBO Кран шаровой 40 полнопроходной (4/20шт)</t>
  </si>
  <si>
    <t>931.35 руб.</t>
  </si>
  <si>
    <t>ALT-110522</t>
  </si>
  <si>
    <t>PPR TEBO Кран шаровой 50 полнопроходной (2/12шт)</t>
  </si>
  <si>
    <t>1 641.36 руб.</t>
  </si>
  <si>
    <t>ALT-110523</t>
  </si>
  <si>
    <t>PPR TEBO Кран шаровой 63 полнопроходной (1/6шт)</t>
  </si>
  <si>
    <t>2 490.81 руб.</t>
  </si>
  <si>
    <t>ALT-110524</t>
  </si>
  <si>
    <t>PPR TEBO Кран шаровой Standart 20  (10/60шт)</t>
  </si>
  <si>
    <t>192.63 руб.</t>
  </si>
  <si>
    <t>ALT-110525</t>
  </si>
  <si>
    <t>PPR TEBO Кран шаровой Standart 25  (10/50шт)</t>
  </si>
  <si>
    <t>201.60 руб.</t>
  </si>
  <si>
    <t>ALT-110526</t>
  </si>
  <si>
    <t>PPR TEBO Кран шаровой Standart 32  (5/30шт)</t>
  </si>
  <si>
    <t>324.90 руб.</t>
  </si>
  <si>
    <t>ALT-110527</t>
  </si>
  <si>
    <t>PPR TEBO Шаровой кран для радиаторов прямой 20x1/2"  (10/60шт)</t>
  </si>
  <si>
    <t>359.10 руб.</t>
  </si>
  <si>
    <t>ALT-110528</t>
  </si>
  <si>
    <t>PPR TEBO Шаровой кран для радиаторов прямой 25x3/4"  (5/50шт)</t>
  </si>
  <si>
    <t>466.41 руб.</t>
  </si>
  <si>
    <t>ALT-110529</t>
  </si>
  <si>
    <t>PPR TEBO Шаровой кран для радиаторов угловой 20x1/2"  (10/60шт)</t>
  </si>
  <si>
    <t>357.84 руб.</t>
  </si>
  <si>
    <t>ALT-110530</t>
  </si>
  <si>
    <t>PPR TEBO Шаровой кран для радиаторов угловой 25x3/4"  (5/45шт)</t>
  </si>
  <si>
    <t>470.40 руб.</t>
  </si>
  <si>
    <t>ALT-110531</t>
  </si>
  <si>
    <t>PPR TEBO Обратный клапан 20 PN25  (20/240шт)</t>
  </si>
  <si>
    <t>60.06 руб.</t>
  </si>
  <si>
    <t>ALT-110532</t>
  </si>
  <si>
    <t>PPR TEBO Обратный клапан 25 PN25  (15/180шт)</t>
  </si>
  <si>
    <t>60.69 руб.</t>
  </si>
  <si>
    <t>ALT-110533</t>
  </si>
  <si>
    <t>PPR TEBO Обратный клапан 32 PN25  (10/120шт)</t>
  </si>
  <si>
    <t>80.01 руб.</t>
  </si>
  <si>
    <t>ALT-110534</t>
  </si>
  <si>
    <t>PPR TEBO Фильтр сетчатый 20 вн./вн. (300мкм.)  (20/100шт)</t>
  </si>
  <si>
    <t>170.73 руб.</t>
  </si>
  <si>
    <t>ALT-110535</t>
  </si>
  <si>
    <t>015070102</t>
  </si>
  <si>
    <t>PPR TEBO Фильтр сетчатый 25 вн./вн. (300мкм.)  (10/50шт)</t>
  </si>
  <si>
    <t>242.34 руб.</t>
  </si>
  <si>
    <t>ALT-110536</t>
  </si>
  <si>
    <t>PPR TEBO Фильтр сетчатый 32 вн./вн. (300мкм.)  (5/30шт)</t>
  </si>
  <si>
    <t>383.46 руб.</t>
  </si>
  <si>
    <t>ALT-110537</t>
  </si>
  <si>
    <t>PPR TEBO Фильтр сетчатый 20 вн./нар. (300мкм.)  (20/100шт)</t>
  </si>
  <si>
    <t>175.77 руб.</t>
  </si>
  <si>
    <t>ALT-110538</t>
  </si>
  <si>
    <t>PPR TEBO Фильтр сетчатый 25 вн./нар. (300мкм.)  (10/50шт)</t>
  </si>
  <si>
    <t>243.60 руб.</t>
  </si>
  <si>
    <t>ALT-110539</t>
  </si>
  <si>
    <t>PPR TEBO Фильтр сетчатый 32 вн./нар. (300мкм.)  (5/30шт)</t>
  </si>
  <si>
    <t>401.52 руб.</t>
  </si>
  <si>
    <t>ALT-110540</t>
  </si>
  <si>
    <t>PPR TEBO Фильтр сетчатый 40 вн./нар. (300мкм.)  (4/16шт)</t>
  </si>
  <si>
    <t>626.85 руб.</t>
  </si>
  <si>
    <t>ALT-110541</t>
  </si>
  <si>
    <t>PPR TEBO Картридж для фильтра сетчатого 20 (800мкм.)  (200/1400шт)</t>
  </si>
  <si>
    <t>7.96 руб.</t>
  </si>
  <si>
    <t>ALT-110542</t>
  </si>
  <si>
    <t>PPR TEBO Картридж для фильтра сетчатого 25 (800мкм.)  (100/800шт)</t>
  </si>
  <si>
    <t>17.52 руб.</t>
  </si>
  <si>
    <t>ALT-110543</t>
  </si>
  <si>
    <t>PPR TEBO Картридж для фильтра сетчатого 32 (800мкм.)  (50/350шт)</t>
  </si>
  <si>
    <t>23.89 руб.</t>
  </si>
  <si>
    <t>ALT-110544</t>
  </si>
  <si>
    <t>PPR TEBO Клапан запорный прям. 20x1/2  (15/90шт)</t>
  </si>
  <si>
    <t>497.07 руб.</t>
  </si>
  <si>
    <t>ALT-110545</t>
  </si>
  <si>
    <t>PPR TEBO Клапан запорный прям. 25x3/4  (10/60шт)</t>
  </si>
  <si>
    <t>633.36 руб.</t>
  </si>
  <si>
    <t>ALT-110546</t>
  </si>
  <si>
    <t>PPR TEBO Клапан запорный угл. 20x1/2  (15/90шт)</t>
  </si>
  <si>
    <t>487.41 руб.</t>
  </si>
  <si>
    <t>ALT-110547</t>
  </si>
  <si>
    <t>PPR TEBO Клапан запорный угл. 25x3/4  (10/60шт)</t>
  </si>
  <si>
    <t>690.06 руб.</t>
  </si>
  <si>
    <t>ALT-110548</t>
  </si>
  <si>
    <t>PPR TEBO Термоклапан прямой с преднастройкой 20x1/2"  (10/60шт)</t>
  </si>
  <si>
    <t>854.07 руб.</t>
  </si>
  <si>
    <t>ALT-110549</t>
  </si>
  <si>
    <t>PPR TEBO Термоклапан прямой с преднастройкой 25x3/4"  (8/48шт)</t>
  </si>
  <si>
    <t>940.38 руб.</t>
  </si>
  <si>
    <t>ALT-110550</t>
  </si>
  <si>
    <t>PPR TEBO Термоклапан угловой с преднастройкой 20x1/2"  (10/60шт)</t>
  </si>
  <si>
    <t>844.41 руб.</t>
  </si>
  <si>
    <t>ALT-110551</t>
  </si>
  <si>
    <t>PPR TEBO Термоклапан угловой с преднастройкой 25x3/4"  (8/48шт)</t>
  </si>
  <si>
    <t>930.72 руб.</t>
  </si>
  <si>
    <t>ALT-110552</t>
  </si>
  <si>
    <t>PPR TEBO Комплект №1 - ПРЯМОЙ 1/2 (Клапан терм. 20x1/2, кл.запор. 20x1/2, термоголовка) (1/17шт)</t>
  </si>
  <si>
    <t>1 304.73 руб.</t>
  </si>
  <si>
    <t>ALT-110553</t>
  </si>
  <si>
    <t>PPR TEBO Комплект №2 - ПРЯМОЙ 3/4 (Клапан терм. 25x3/4, кл.запор. 25x3/4, термоголовка) (1/17шт)</t>
  </si>
  <si>
    <t>2 035.53 руб.</t>
  </si>
  <si>
    <t>ALT-110554</t>
  </si>
  <si>
    <t>PPR TEBO Комплект №3 - УГЛОВОЙ 1/2 (Клапан терм. 20x1/2, кл.запор. 20x1/2, термоголовка) (1/17шт)</t>
  </si>
  <si>
    <t>1 293.81 руб.</t>
  </si>
  <si>
    <t>ALT-110555</t>
  </si>
  <si>
    <t>PPR TEBO Комплект №4 - УГЛОВОЙ 3/4 (Клапан терм. 25x3/4, кл.запор. 25x3/4, термоголовка) (1/17шт)</t>
  </si>
  <si>
    <t>2 072.70 руб.</t>
  </si>
  <si>
    <t>ALT-110556</t>
  </si>
  <si>
    <t>PPR TEBO Комплект №5 - ПРЯМОЙ 1/2 (Клапан терм. 20x1/2, кл.запорный 20x1/2) (1/17шт)</t>
  </si>
  <si>
    <t>1 070.58 руб.</t>
  </si>
  <si>
    <t>ALT-110557</t>
  </si>
  <si>
    <t>PPR TEBO Комплект №6 - ПРЯМОЙ 3/4 (Клапан терм. 25x3/4, кл.запорный 25x3/4) (1/17шт)</t>
  </si>
  <si>
    <t>1 515.78 руб.</t>
  </si>
  <si>
    <t>ALT-110558</t>
  </si>
  <si>
    <t>PPR TEBO Комплект №7 - УГЛОВОЙ 1/2 (Клапан терм. 20x1/2, кл.запорный 20x1/2) (1/17шт)</t>
  </si>
  <si>
    <t>957.18 руб.</t>
  </si>
  <si>
    <t>ALT-110559</t>
  </si>
  <si>
    <t>PPR TEBO Комплект №8 - УГЛОВОЙ 3/4 (Клапан терм 25x3/4, кл.запорный 25x3/4) (1/17шт)</t>
  </si>
  <si>
    <t>1 558.83 руб.</t>
  </si>
  <si>
    <t>ALT-110560</t>
  </si>
  <si>
    <t>PPR TEBO Комплект №9 - ПРЯМОЙ 1/2 (Клапан запорный ручной 20x1/2, вентиль настроеч 20x1/2) (1/17шт)</t>
  </si>
  <si>
    <t>1 095.15 руб.</t>
  </si>
  <si>
    <t>ALT-110561</t>
  </si>
  <si>
    <t>PPR TEBO Комплект №10 - ПРЯМОЙ 3/4 (Клапан запорный ручной 25х3/4, вентиль настроеч 25х3/4) (1/17шт)</t>
  </si>
  <si>
    <t>1 371.51 руб.</t>
  </si>
  <si>
    <t>ALT-110562</t>
  </si>
  <si>
    <t>PPR TEBO Комплект №11 -УГЛОВОЙ 1/2 (Клапан запорный ручной 20x1/2, вентиль настроеч 20x1/2) (1/17шт)</t>
  </si>
  <si>
    <t>883.26 руб.</t>
  </si>
  <si>
    <t>ALT-110563</t>
  </si>
  <si>
    <t>PPR TEBO Комплект №12 -УГЛОВОЙ 3/4 (Клапан запорный ручной 25x3/4, вентиль настроеч 25x3/4) (1/17шт)</t>
  </si>
  <si>
    <t>1 180.62 руб.</t>
  </si>
  <si>
    <t>ALT-110564</t>
  </si>
  <si>
    <t>PPR TEBO Заглушка 20  (100/1600шт)</t>
  </si>
  <si>
    <t>5.13 руб.</t>
  </si>
  <si>
    <t>ALT-110565</t>
  </si>
  <si>
    <t>T-ПНД.З.0.25.CN</t>
  </si>
  <si>
    <t>PPR TEBO Заглушка 25  (80/800шт)</t>
  </si>
  <si>
    <t>7.83 руб.</t>
  </si>
  <si>
    <t>ALT-110566</t>
  </si>
  <si>
    <t>PPR TEBO Заглушка 32  (50/400шт)</t>
  </si>
  <si>
    <t>14.00 руб.</t>
  </si>
  <si>
    <t>ALT-110567</t>
  </si>
  <si>
    <t>PPR TEBO Заглушка 40  (25/200шт)</t>
  </si>
  <si>
    <t>27.09 руб.</t>
  </si>
  <si>
    <t>ALT-110568</t>
  </si>
  <si>
    <t>PPR TEBO Заглушка 50  (20/160шт)</t>
  </si>
  <si>
    <t>47.88 руб.</t>
  </si>
  <si>
    <t>ALT-110569</t>
  </si>
  <si>
    <t>PPR TEBO Заглушка 63  (10/80шт)</t>
  </si>
  <si>
    <t>ALT-110570</t>
  </si>
  <si>
    <t>PPR TEBO Заглушка 75  (6/48шт)</t>
  </si>
  <si>
    <t>171.99 руб.</t>
  </si>
  <si>
    <t>ALT-110571</t>
  </si>
  <si>
    <t>PPR TEBO Заглушка 90  (4/32шт)</t>
  </si>
  <si>
    <t>225.33 руб.</t>
  </si>
  <si>
    <t>ALT-110572</t>
  </si>
  <si>
    <t>PPR TEBO Заглушка 110  (2/20шт)</t>
  </si>
  <si>
    <t>372.96 руб.</t>
  </si>
  <si>
    <t>ALT-110573</t>
  </si>
  <si>
    <t>PPR TEBO Заглушка 125  (1/15шт)</t>
  </si>
  <si>
    <t>702.87 руб.</t>
  </si>
  <si>
    <t>ALT-110574</t>
  </si>
  <si>
    <t>PPR TEBO Заглушка 160  (1/7шт)</t>
  </si>
  <si>
    <t>982.80 руб.</t>
  </si>
  <si>
    <t>ALT-110575</t>
  </si>
  <si>
    <t>PPR TEBO Заглушка 20x1/2"  (170/1700шт)</t>
  </si>
  <si>
    <t>3.99 руб.</t>
  </si>
  <si>
    <t>ALT-110576</t>
  </si>
  <si>
    <t>PPR TEBO Заглушка 25x3/4"  (80/960шт)</t>
  </si>
  <si>
    <t>6.30 руб.</t>
  </si>
  <si>
    <t>ALT-110577</t>
  </si>
  <si>
    <t>PPR TEBO Заглушка 32x1"  (60/600шт)</t>
  </si>
  <si>
    <t>10.29 руб.</t>
  </si>
  <si>
    <t>ALT-110578</t>
  </si>
  <si>
    <t>PPR TEBO Крестовина 20  (30/300шт)</t>
  </si>
  <si>
    <t>24.15 руб.</t>
  </si>
  <si>
    <t>ALT-110579</t>
  </si>
  <si>
    <t>PPR TEBO Крестовина 25  (20/200шт)</t>
  </si>
  <si>
    <t>29.19 руб.</t>
  </si>
  <si>
    <t>ALT-110580</t>
  </si>
  <si>
    <t>PPR TEBO Крестовина 32  (10/100шт)</t>
  </si>
  <si>
    <t>52.08 руб.</t>
  </si>
  <si>
    <t>ALT-110581</t>
  </si>
  <si>
    <t>PPR TEBO Крестовина 40  (5/60шт)</t>
  </si>
  <si>
    <t>67.20 руб.</t>
  </si>
  <si>
    <t>ALT-110582</t>
  </si>
  <si>
    <t>PPR TEBO Крестовина 50  (4/32шт)</t>
  </si>
  <si>
    <t>136.08 руб.</t>
  </si>
  <si>
    <t>ALT-110583</t>
  </si>
  <si>
    <t>PPR TEBO Обводное колено 20  (50/150шт)</t>
  </si>
  <si>
    <t>ALT-110584</t>
  </si>
  <si>
    <t>PPR TEBO Обводное колено 25  (25/100шт)</t>
  </si>
  <si>
    <t>43.26 руб.</t>
  </si>
  <si>
    <t>ALT-110585</t>
  </si>
  <si>
    <t>PPR TEBO Обводное колено 32  (25/50шт)</t>
  </si>
  <si>
    <t>76.44 руб.</t>
  </si>
  <si>
    <t>ALT-110586</t>
  </si>
  <si>
    <t>PPR TEBO Обводное колено 40  (15/30шт)</t>
  </si>
  <si>
    <t>184.17 руб.</t>
  </si>
  <si>
    <t>ALT-110587</t>
  </si>
  <si>
    <t>030093501</t>
  </si>
  <si>
    <t>PPR TEBO Обводное колено раструбное 20  (30/330шт)</t>
  </si>
  <si>
    <t>16.80 руб.</t>
  </si>
  <si>
    <t>ALT-110588</t>
  </si>
  <si>
    <t>PPR TEBO Обводное колено раструбное 25  (20/200шт)</t>
  </si>
  <si>
    <t>22.89 руб.</t>
  </si>
  <si>
    <t>ALT-110589</t>
  </si>
  <si>
    <t>PPR TEBO Обводное колено раструбное 32  (11/110шт)</t>
  </si>
  <si>
    <t>47.46 руб.</t>
  </si>
  <si>
    <t>ALT-110590</t>
  </si>
  <si>
    <t>PPR TEBO Компенсатор 20  (1/65шт)</t>
  </si>
  <si>
    <t>129.60 руб.</t>
  </si>
  <si>
    <t>ALT-110591</t>
  </si>
  <si>
    <t>PPR TEBO Компенсатор 25  (1/45шт)</t>
  </si>
  <si>
    <t>208.80 руб.</t>
  </si>
  <si>
    <t>ALT-110592</t>
  </si>
  <si>
    <t>PPR TEBO Компенсатор 32  (1/22шт)</t>
  </si>
  <si>
    <t>393.71 руб.</t>
  </si>
  <si>
    <t>ALT-110593</t>
  </si>
  <si>
    <t>PPR TEBO Компенсатор 40  (1/15шт)</t>
  </si>
  <si>
    <t>736.20 руб.</t>
  </si>
  <si>
    <t>ALT-110594</t>
  </si>
  <si>
    <t>PPR TEBO Компенсатор Козлова 25  (10/50шт)</t>
  </si>
  <si>
    <t>1 791.51 руб.</t>
  </si>
  <si>
    <t>ALT-110595</t>
  </si>
  <si>
    <t>PPR TEBO Компенсатор Козлова 32  (6/24шт)</t>
  </si>
  <si>
    <t>2 310.84 руб.</t>
  </si>
  <si>
    <t>ALT-110596</t>
  </si>
  <si>
    <t>PPR TEBO Компенсатор Козлова 40  (5/15шт)</t>
  </si>
  <si>
    <t>2 888.97 руб.</t>
  </si>
  <si>
    <t>ALT-110597</t>
  </si>
  <si>
    <t>PPR TEBO Компенсатор Козлова 50  (4/8шт)</t>
  </si>
  <si>
    <t>4 340.91 руб.</t>
  </si>
  <si>
    <t>ALT-110598</t>
  </si>
  <si>
    <t>PPR TEBO Бурт под фланец 40  (15/165шт)</t>
  </si>
  <si>
    <t>ALT-110599</t>
  </si>
  <si>
    <t>PPR TEBO Бурт под фланец 50  (15/120шт)</t>
  </si>
  <si>
    <t>36.96 руб.</t>
  </si>
  <si>
    <t>ALT-110600</t>
  </si>
  <si>
    <t>PPR TEBO Бурт под фланец 63  (10/100шт)</t>
  </si>
  <si>
    <t>ALT-110601</t>
  </si>
  <si>
    <t>PPR TEBO Бурт под фланец 75  (4/72шт)</t>
  </si>
  <si>
    <t>ALT-110602</t>
  </si>
  <si>
    <t>PPR TEBO Бурт под фланец 90  (4/48шт)</t>
  </si>
  <si>
    <t>159.18 руб.</t>
  </si>
  <si>
    <t>ALT-110603</t>
  </si>
  <si>
    <t>PPR TEBO Бурт под фланец 110  (2/22шт)</t>
  </si>
  <si>
    <t>168.21 руб.</t>
  </si>
  <si>
    <t>ALT-110604</t>
  </si>
  <si>
    <t>PPR TEBO Бурт под фланец 125  (1/12шт)</t>
  </si>
  <si>
    <t>550.41 руб.</t>
  </si>
  <si>
    <t>ALT-110605</t>
  </si>
  <si>
    <t>PPR TEBO Бурт под фланец 160  (1/6шт)</t>
  </si>
  <si>
    <t>658.56 руб.</t>
  </si>
  <si>
    <t>ALT-110606</t>
  </si>
  <si>
    <t>PPR TEBO Фланец пластиковый (ABS) 40 PN10 / сталь Dу 32  (5/60шт)</t>
  </si>
  <si>
    <t>235.20 руб.</t>
  </si>
  <si>
    <t>ALT-110607</t>
  </si>
  <si>
    <t>PPR TEBO Фланец пластиковый (ABS) 50 PN10 / сталь Dу 40  (4/48шт)</t>
  </si>
  <si>
    <t>274.47 руб.</t>
  </si>
  <si>
    <t>ALT-110608</t>
  </si>
  <si>
    <t>PPR TEBO Фланец пластиковый (ABS) 63 PN10 / сталь Dу 50  (3/36шт)</t>
  </si>
  <si>
    <t>314.16 руб.</t>
  </si>
  <si>
    <t>ALT-110609</t>
  </si>
  <si>
    <t>PPR TEBO Фланец пластиковый (ABS) 75 PN10 / сталь Dу 65  (2/30шт)</t>
  </si>
  <si>
    <t>445.83 руб.</t>
  </si>
  <si>
    <t>ALT-110610</t>
  </si>
  <si>
    <t>PPR TEBO Фланец пластиковый (ABS) 90 PN10 / сталь Dу 80  (1/22шт)</t>
  </si>
  <si>
    <t>424.62 руб.</t>
  </si>
  <si>
    <t>ALT-110611</t>
  </si>
  <si>
    <t>PPR TEBO Фланец пластиковый (ABS) 110 PN10 / сталь Dу 100  (1/18шт)</t>
  </si>
  <si>
    <t>620.97 руб.</t>
  </si>
  <si>
    <t>ALT-110629</t>
  </si>
  <si>
    <t>PPR TEBO Вварное седло 63/25  (40/320шт)</t>
  </si>
  <si>
    <t>21.00 руб.</t>
  </si>
  <si>
    <t>ALT-110630</t>
  </si>
  <si>
    <t>PPR TEBO Вварное седло 75/25  (35/280шт)</t>
  </si>
  <si>
    <t>19.53 руб.</t>
  </si>
  <si>
    <t>ALT-110631</t>
  </si>
  <si>
    <t>PPR TEBO Вварное седло 75/32  (30/240шт)</t>
  </si>
  <si>
    <t>ALT-110632</t>
  </si>
  <si>
    <t>PPR TEBO Вварное седло 90/25  (30/240шт)</t>
  </si>
  <si>
    <t>25.41 руб.</t>
  </si>
  <si>
    <t>ALT-110633</t>
  </si>
  <si>
    <t>PPR TEBO Вварное седло 90/32  (25/200шт)</t>
  </si>
  <si>
    <t>ALT-110634</t>
  </si>
  <si>
    <t>PPR TEBO Гидрострелка PP-R 75x25x4 одноконтурная  (1/1шт)</t>
  </si>
  <si>
    <t>4 506.78 руб.</t>
  </si>
  <si>
    <t>ALT-110635</t>
  </si>
  <si>
    <t>PPR TEBO Гидрострелка PP-R 75x25x6 двухконтурная  (1/1шт)</t>
  </si>
  <si>
    <t>5 303.03 руб.</t>
  </si>
  <si>
    <t>ALT-110636</t>
  </si>
  <si>
    <t>PPR TEBO Гидрострелка PP-R 75x25x8 трёхконтурная  (1/1шт)</t>
  </si>
  <si>
    <t>6 018.06 руб.</t>
  </si>
  <si>
    <t>ALT-110637</t>
  </si>
  <si>
    <t>PPR TEBO Гидрострелка PP-R 75x32x4 одноконтурная  (1/1шт)</t>
  </si>
  <si>
    <t>4 607.10 руб.</t>
  </si>
  <si>
    <t>ALT-110638</t>
  </si>
  <si>
    <t>PPR TEBO Гидрострелка PP-R 75x32x6 двухконтурная  (1/1шт)</t>
  </si>
  <si>
    <t>5 374.69 руб.</t>
  </si>
  <si>
    <t>ALT-110639</t>
  </si>
  <si>
    <t>PPR TEBO Гидрострелка PP-R 75x32x8 трёхконтурная  (1/1шт)</t>
  </si>
  <si>
    <t>6 127.94 руб.</t>
  </si>
  <si>
    <t>ALT-110640</t>
  </si>
  <si>
    <t>PPR TEBO Гидрострелка PP-R 90x32x4 одноконтурная  (1/1шт)</t>
  </si>
  <si>
    <t>4 928.79 руб.</t>
  </si>
  <si>
    <t>ALT-110641</t>
  </si>
  <si>
    <t>PPR TEBO Гидрострелка PP-R 90x32x6 двухконтурная  (1/1шт)</t>
  </si>
  <si>
    <t>5 779.18 руб.</t>
  </si>
  <si>
    <t>ALT-110642</t>
  </si>
  <si>
    <t>PPR TEBO Гидрострелка PP-R 90x32x8 трёхконтурная  (1/1шт)</t>
  </si>
  <si>
    <t>6 530.84 руб.</t>
  </si>
  <si>
    <t>ALT-110643</t>
  </si>
  <si>
    <t>PPR TEBO Коллектор 32x20x3 вых. красн.  (3/18шт)</t>
  </si>
  <si>
    <t>496.86 руб.</t>
  </si>
  <si>
    <t>ALT-110644</t>
  </si>
  <si>
    <t>PPR TEBO Коллектор 32x20x3 вых. син.  (3/18шт)</t>
  </si>
  <si>
    <t>ALT-110645</t>
  </si>
  <si>
    <t>PPR TEBO Коллектор 32x20x4 вых. красн.  (2/14шт)</t>
  </si>
  <si>
    <t>647.85 руб.</t>
  </si>
  <si>
    <t>ALT-110646</t>
  </si>
  <si>
    <t>PPR TEBO Коллектор 32x20x4 вых. син.  (2/14шт)</t>
  </si>
  <si>
    <t>669.06 руб.</t>
  </si>
  <si>
    <t>ALT-110647</t>
  </si>
  <si>
    <t>PPR TEBO Коллектор 40x20x2 вых. красн.  (1/25шт)</t>
  </si>
  <si>
    <t>471.38 руб.</t>
  </si>
  <si>
    <t>ALT-110648</t>
  </si>
  <si>
    <t>PPR TEBO Коллектор 40x20x2 вых. син.  (1/25шт)</t>
  </si>
  <si>
    <t>ALT-110649</t>
  </si>
  <si>
    <t>PPR TEBO Коллектор 40x20x4 вых. красн.  (1/15шт)</t>
  </si>
  <si>
    <t>875.88 руб.</t>
  </si>
  <si>
    <t>ALT-110650</t>
  </si>
  <si>
    <t>PPR TEBO Коллектор 40x20x4 вых. син.  (1/15шт)</t>
  </si>
  <si>
    <t>ALT-110651</t>
  </si>
  <si>
    <t>PPR TEBO Коллектор 40x20x5 вых. красн.  (1/10шт)</t>
  </si>
  <si>
    <t>1 188.01 руб.</t>
  </si>
  <si>
    <t>ALT-110652</t>
  </si>
  <si>
    <t>PPR TEBO Коллектор 25x20x2 вых. универсальный  (5/25шт)</t>
  </si>
  <si>
    <t>333.06 руб.</t>
  </si>
  <si>
    <t>ALT-110653</t>
  </si>
  <si>
    <t>PPR TEBO Коллектор 25x20x3 вых. универсальный  (3/18шт)</t>
  </si>
  <si>
    <t>482.79 руб.</t>
  </si>
  <si>
    <t>ALT-110654</t>
  </si>
  <si>
    <t>PPR TEBO Коллектор 25x20x4 вых. универсальный  (3/15шт)</t>
  </si>
  <si>
    <t>624.12 руб.</t>
  </si>
  <si>
    <t>ALT-110655</t>
  </si>
  <si>
    <t>PPR TEBO Коллектор 32x20x3 вых. универсальный  (3/18шт)</t>
  </si>
  <si>
    <t>530.46 руб.</t>
  </si>
  <si>
    <t>ALT-110656</t>
  </si>
  <si>
    <t>PPR TEBO Коллектор 32x20x4 вых. универсальный  (2/14шт)</t>
  </si>
  <si>
    <t>679.35 руб.</t>
  </si>
  <si>
    <t>ALT-110657</t>
  </si>
  <si>
    <t>PPR TEBO Коллектор 32x20x5 вых. универсальный  (2/12шт)</t>
  </si>
  <si>
    <t>835.59 руб.</t>
  </si>
  <si>
    <t>ALT-110658</t>
  </si>
  <si>
    <t>PPR TEBO Коллектор 40x20x2 вых. универсальный  (3/18шт)</t>
  </si>
  <si>
    <t>447.49 руб.</t>
  </si>
  <si>
    <t>ALT-110659</t>
  </si>
  <si>
    <t>PPR TEBO Коллектор 40x20x3 вых. универсальный  (2/12шт)</t>
  </si>
  <si>
    <t>700.70 руб.</t>
  </si>
  <si>
    <t>ALT-110660</t>
  </si>
  <si>
    <t>PPR TEBO Коллектор 40x20x4 вых. универсальный  (2/10шт)</t>
  </si>
  <si>
    <t>1 122.71 руб.</t>
  </si>
  <si>
    <t>ALT-110661</t>
  </si>
  <si>
    <t>PPR TEBO Коллектор 40x20x5 вых. универсальный  (2/8шт)</t>
  </si>
  <si>
    <t>1 129.08 руб.</t>
  </si>
  <si>
    <t>ALT-110662</t>
  </si>
  <si>
    <t>PPR TEBO Заглушка для коллектора 25  (60/600шт)</t>
  </si>
  <si>
    <t>11.76 руб.</t>
  </si>
  <si>
    <t>ALT-110663</t>
  </si>
  <si>
    <t>PPR TEBO Заглушка для коллектора 32  (40/400шт)</t>
  </si>
  <si>
    <t>18.06 руб.</t>
  </si>
  <si>
    <t>ALT-110664</t>
  </si>
  <si>
    <t>PPR TEBO Заглушка для коллектора 40  (30/330шт)</t>
  </si>
  <si>
    <t>39.81 руб.</t>
  </si>
  <si>
    <t>ALT-110665</t>
  </si>
  <si>
    <t>PPR TEBO Заглушка для коллектора 25 с воздухоотводчиком  (50/250шт)</t>
  </si>
  <si>
    <t>132.09 руб.</t>
  </si>
  <si>
    <t>ALT-110666</t>
  </si>
  <si>
    <t>PPR TEBO Заглушка для коллектора 32 с воздухоотводчиком  (35/140шт)</t>
  </si>
  <si>
    <t>145.95 руб.</t>
  </si>
  <si>
    <t>ALT-110667</t>
  </si>
  <si>
    <t>PPR TEBO Заглушка для коллектора 40 с воздухоотводчиком  (30/120шт)</t>
  </si>
  <si>
    <t>211.80 руб.</t>
  </si>
  <si>
    <t>ALT-110668</t>
  </si>
  <si>
    <t>PPR TEBO Крепление для коллектора 25/32 (комплект 2 шт)  (1/30шт)</t>
  </si>
  <si>
    <t>175.98 руб.</t>
  </si>
  <si>
    <t>ALT-110669</t>
  </si>
  <si>
    <t>PPR TEBO Крепление для коллектора 40 (комплект 2 шт) (комп) (1/20шт)</t>
  </si>
  <si>
    <t>124.22 руб.</t>
  </si>
  <si>
    <t>ALT-110670</t>
  </si>
  <si>
    <t>PPR TEBO Переходник комбинированный PP-R 20 - PЕ-Х16х2(цанга)  (50/300шт)</t>
  </si>
  <si>
    <t>181.65 руб.</t>
  </si>
  <si>
    <t>ALT-110774</t>
  </si>
  <si>
    <t>Заглушка тестовая длинная 1/2" красная ТЕБО (10/100шт)</t>
  </si>
  <si>
    <t>28.69 руб.</t>
  </si>
  <si>
    <t>ALT-110775</t>
  </si>
  <si>
    <t>Заглушка тестовая длинная 1/2" синяя ТЕБО (10/100шт)</t>
  </si>
  <si>
    <t>Фитинги полипропиленовые TM</t>
  </si>
  <si>
    <t>OTM-110008</t>
  </si>
  <si>
    <t>PPR ТМ Американка прямая 20×1/2 нар латунь (250шт)</t>
  </si>
  <si>
    <t>138.51 руб.</t>
  </si>
  <si>
    <t>OTM-110009</t>
  </si>
  <si>
    <t>PPR ТМ Американка прямая 25×3/4 нар латунь (150шт)</t>
  </si>
  <si>
    <t>165.87 руб.</t>
  </si>
  <si>
    <t>OTM-110010</t>
  </si>
  <si>
    <t>PPR ТМ Американка прямая 32×1  нар латунь (90шт)</t>
  </si>
  <si>
    <t>271.89 руб.</t>
  </si>
  <si>
    <t>OTM-110011</t>
  </si>
  <si>
    <t>PPR ТМ Американка прямая 20*3/4 нар латунь (240/ 10шт)</t>
  </si>
  <si>
    <t>201.78 руб.</t>
  </si>
  <si>
    <t>OTM-110012</t>
  </si>
  <si>
    <t>PPR ТМ Американка прямая 20*1 нар латунь (180/ 10шт)</t>
  </si>
  <si>
    <t>273.60 руб.</t>
  </si>
  <si>
    <t>OTM-110013</t>
  </si>
  <si>
    <t>PPR ТМ Американка прямая 25*1/2 нар латунь (140/ 10шт)</t>
  </si>
  <si>
    <t>244.53 руб.</t>
  </si>
  <si>
    <t>OTM-110014</t>
  </si>
  <si>
    <t>PPR ТМ Американка прямая 25*1 нар латунь (120/ 10шт)</t>
  </si>
  <si>
    <t>OTM-110015</t>
  </si>
  <si>
    <t>PPR ТМ Американка прямая 32*3/4 нар латунь (120/ 10шт)</t>
  </si>
  <si>
    <t>256.50 руб.</t>
  </si>
  <si>
    <t>OTM-110016</t>
  </si>
  <si>
    <t>PPR ТМ Американка прямая 32*1 1/4 нар латунь (шт)</t>
  </si>
  <si>
    <t>468.54 руб.</t>
  </si>
  <si>
    <t>OTM-110017</t>
  </si>
  <si>
    <t>PPR ТМ Американка прямая 40*1 1/4 нар латунь (80/10шт)</t>
  </si>
  <si>
    <t>550.62 руб.</t>
  </si>
  <si>
    <t>OTM-110018</t>
  </si>
  <si>
    <t>PPR ТМ Американка прямая 40*1 1/2 нар латунь (шт)</t>
  </si>
  <si>
    <t>682.29 руб.</t>
  </si>
  <si>
    <t>OTM-110019</t>
  </si>
  <si>
    <t>PPR ТМ Американка прямая 50*1 1/2 нар латунь (40/10шт)</t>
  </si>
  <si>
    <t>798.57 руб.</t>
  </si>
  <si>
    <t>OTM-110020</t>
  </si>
  <si>
    <t>PPR ТМ Американка прямая 50*2 нар латунь (40шт)</t>
  </si>
  <si>
    <t>1 260.27 руб.</t>
  </si>
  <si>
    <t>OTM-110021</t>
  </si>
  <si>
    <t>PPR ТМ Американка прямая 63*2 нар латунь (36/2шт)</t>
  </si>
  <si>
    <t>1 342.35 руб.</t>
  </si>
  <si>
    <t>OTM-110022</t>
  </si>
  <si>
    <t>PPR ТМ Американка прямая 20×1/2 внутр латунь (250шт)</t>
  </si>
  <si>
    <t>OTM-110023</t>
  </si>
  <si>
    <t>PPR ТМ Американка прямая 25×3/4 внутр латунь (150шт)</t>
  </si>
  <si>
    <t>148.77 руб.</t>
  </si>
  <si>
    <t>OTM-110024</t>
  </si>
  <si>
    <t>PPR ТМ Американка прямая 32×1  внутр латунь (100шт)</t>
  </si>
  <si>
    <t>275.31 руб.</t>
  </si>
  <si>
    <t>OTM-110025</t>
  </si>
  <si>
    <t>PPR ТМ Американка прямая 20*3/4 внутр латунь (240/ 10шт)</t>
  </si>
  <si>
    <t>174.42 руб.</t>
  </si>
  <si>
    <t>OTM-110026</t>
  </si>
  <si>
    <t>PPR ТМ Американка прямая 20*1 внутр латунь (180/ 10шт)</t>
  </si>
  <si>
    <t>225.72 руб.</t>
  </si>
  <si>
    <t>OTM-110027</t>
  </si>
  <si>
    <t>PPR ТМ Американка прямая 25*1/2 внутр латунь (150/ 10шт)</t>
  </si>
  <si>
    <t>227.43 руб.</t>
  </si>
  <si>
    <t>OTM-110028</t>
  </si>
  <si>
    <t>PPR ТМ Американка прямая 25*1 внутр латунь (150/ 10шт)</t>
  </si>
  <si>
    <t>254.79 руб.</t>
  </si>
  <si>
    <t>OTM-110029</t>
  </si>
  <si>
    <t>PPR ТМ Американка прямая 32*3/4 внутр латунь (120/ 10шт)</t>
  </si>
  <si>
    <t>265.05 руб.</t>
  </si>
  <si>
    <t>OTM-110030</t>
  </si>
  <si>
    <t>PPR ТМ Американка прямая 32*1 1/4 внутр латунь (шт)</t>
  </si>
  <si>
    <t>425.79 руб.</t>
  </si>
  <si>
    <t>OTM-110031</t>
  </si>
  <si>
    <t>PPR ТМ Американка прямая 40*1 1/4 внутр латунь (80/10шт)</t>
  </si>
  <si>
    <t>478.80 руб.</t>
  </si>
  <si>
    <t>OTM-110032</t>
  </si>
  <si>
    <t>PPR ТМ Американка прямая 40*1 1/2 внутр латунь (шт)</t>
  </si>
  <si>
    <t>745.56 руб.</t>
  </si>
  <si>
    <t>OTM-110033</t>
  </si>
  <si>
    <t>PPR ТМ Американка прямая 50*1 1/2 внутр латунь (50/5шт)</t>
  </si>
  <si>
    <t>791.73 руб.</t>
  </si>
  <si>
    <t>OTM-110034</t>
  </si>
  <si>
    <t>PPR ТМ Американка прямая 50*2 внутр латунь (40шт)</t>
  </si>
  <si>
    <t>974.70 руб.</t>
  </si>
  <si>
    <t>OTM-110035</t>
  </si>
  <si>
    <t>PPR ТМ Американка прямая 63*2 внутр латунь (36/2шт)</t>
  </si>
  <si>
    <t>OTM-110036</t>
  </si>
  <si>
    <t>PPR ТМ Американка прямая 20×1/2 нар нерж сталь (250шт)</t>
  </si>
  <si>
    <t>92.34 руб.</t>
  </si>
  <si>
    <t>OTM-110037</t>
  </si>
  <si>
    <t>PPR ТМ Американка прямая 25×3/4 нар нерж сталь (150шт)</t>
  </si>
  <si>
    <t>104.31 руб.</t>
  </si>
  <si>
    <t>OTM-110038</t>
  </si>
  <si>
    <t>PPR ТМ Американка прямая 32×1  нар нерж сталь (90шт)</t>
  </si>
  <si>
    <t>133.38 руб.</t>
  </si>
  <si>
    <t>OTM-110039</t>
  </si>
  <si>
    <t>PPR ТМ Американка прямая 20×1/2 внутр нерж сталь (250шт)</t>
  </si>
  <si>
    <t>OTM-110040</t>
  </si>
  <si>
    <t>PPR ТМ Американка прямая 25×3/4 внутр нерж сталь (150шт)</t>
  </si>
  <si>
    <t>OTM-110041</t>
  </si>
  <si>
    <t>PPR ТМ Американка прямая 32×1  внутр нерж сталь (100шт)</t>
  </si>
  <si>
    <t>OTM-110089</t>
  </si>
  <si>
    <t>PPR ТМ Муфта 20  (1200/100шт)</t>
  </si>
  <si>
    <t>OTM-110090</t>
  </si>
  <si>
    <t>PPR ТМ Муфта 25  (800/100шт)</t>
  </si>
  <si>
    <t>6.84 руб.</t>
  </si>
  <si>
    <t>OTM-110091</t>
  </si>
  <si>
    <t>PPR ТМ Муфта 32  (400/40шт)</t>
  </si>
  <si>
    <t>11.97 руб.</t>
  </si>
  <si>
    <t>OTM-110092</t>
  </si>
  <si>
    <t>PPR ТМ Муфта 40  (240/30шт)</t>
  </si>
  <si>
    <t>20.52 руб.</t>
  </si>
  <si>
    <t>OTM-110093</t>
  </si>
  <si>
    <t>PPR ТМ Муфта 50  (200шт)</t>
  </si>
  <si>
    <t>29.07 руб.</t>
  </si>
  <si>
    <t>OTM-110094</t>
  </si>
  <si>
    <t>PPR ТМ Муфта 63  (108шт)</t>
  </si>
  <si>
    <t>46.17 руб.</t>
  </si>
  <si>
    <t>OTM-110095</t>
  </si>
  <si>
    <t>PPR ТМ Муфта 75  (80шт)</t>
  </si>
  <si>
    <t>97.47 руб.</t>
  </si>
  <si>
    <t>OTM-110096</t>
  </si>
  <si>
    <t>PPR ТМ Муфта 90  (40шт)</t>
  </si>
  <si>
    <t>159.03 руб.</t>
  </si>
  <si>
    <t>OTM-110097</t>
  </si>
  <si>
    <t>PPR ТМ Муфта 110  (28шт)</t>
  </si>
  <si>
    <t>OTM-110098</t>
  </si>
  <si>
    <t>PPR ТМ Муфта  перех.25×20 (700/70шт)</t>
  </si>
  <si>
    <t>OTM-110099</t>
  </si>
  <si>
    <t>PPR ТМ Муфта  перех.32×20 (500/50шт)</t>
  </si>
  <si>
    <t>OTM-110100</t>
  </si>
  <si>
    <t>PPR ТМ Муфта  перех.32×25 (480/40шт)</t>
  </si>
  <si>
    <t>OTM-110101</t>
  </si>
  <si>
    <t>PPR ТМ Муфта  перех.40×20 (360/30шт)</t>
  </si>
  <si>
    <t>OTM-110102</t>
  </si>
  <si>
    <t>PPR ТМ Муфта  перех.40×25 (300/30шт)</t>
  </si>
  <si>
    <t>OTM-110103</t>
  </si>
  <si>
    <t>PPR ТМ Муфта  перех.40×32 (280/20шт)</t>
  </si>
  <si>
    <t>OTM-110104</t>
  </si>
  <si>
    <t>PPR ТМ Муфта  перех.50×20 (320шт)</t>
  </si>
  <si>
    <t>34.20 руб.</t>
  </si>
  <si>
    <t>OTM-110105</t>
  </si>
  <si>
    <t>PPR ТМ Муфта  перех.50×25 (288шт)</t>
  </si>
  <si>
    <t>35.91 руб.</t>
  </si>
  <si>
    <t>OTM-110106</t>
  </si>
  <si>
    <t>PPR ТМ Муфта  перех.50×32 (336шт)</t>
  </si>
  <si>
    <t>OTM-110107</t>
  </si>
  <si>
    <t>PPR ТМ Муфта  перех.50×40 (180шт)</t>
  </si>
  <si>
    <t>39.33 руб.</t>
  </si>
  <si>
    <t>OTM-110110</t>
  </si>
  <si>
    <t>PPR ТМ Муфта  перех.63×32 (180шт)</t>
  </si>
  <si>
    <t>61.56 руб.</t>
  </si>
  <si>
    <t>OTM-110111</t>
  </si>
  <si>
    <t>PPR ТМ Муфта  перех.63×40 (144шт)</t>
  </si>
  <si>
    <t>70.11 руб.</t>
  </si>
  <si>
    <t>OTM-110112</t>
  </si>
  <si>
    <t>PPR ТМ Муфта  перех.63×50 (96шт)</t>
  </si>
  <si>
    <t>OTM-110113</t>
  </si>
  <si>
    <t>PPR ТМ Муфта  перех.75×63 (84шт)</t>
  </si>
  <si>
    <t>88.92 руб.</t>
  </si>
  <si>
    <t>OTM-110114</t>
  </si>
  <si>
    <t>PPR ТМ Муфта  перех.90×63 (72шт)</t>
  </si>
  <si>
    <t>128.25 руб.</t>
  </si>
  <si>
    <t>OTM-110115</t>
  </si>
  <si>
    <t>PPR ТМ Муфта  перех.90×75 (48шт)</t>
  </si>
  <si>
    <t>136.80 руб.</t>
  </si>
  <si>
    <t>OTM-110116</t>
  </si>
  <si>
    <t>PPR ТМ Муфта  перех.110×63 (52шт)</t>
  </si>
  <si>
    <t>196.65 руб.</t>
  </si>
  <si>
    <t>OTM-110117</t>
  </si>
  <si>
    <t>PPR ТМ Муфта  перех.110×75 (52шт)</t>
  </si>
  <si>
    <t>203.49 руб.</t>
  </si>
  <si>
    <t>OTM-110118</t>
  </si>
  <si>
    <t>PPR ТМ Муфта  перех.110×90 (34шт)</t>
  </si>
  <si>
    <t>215.46 руб.</t>
  </si>
  <si>
    <t>OTM-110119</t>
  </si>
  <si>
    <t>PPR ТМ Уголок  20 45° (960)/80шт)</t>
  </si>
  <si>
    <t>OTM-110120</t>
  </si>
  <si>
    <t>PPR ТМ Уголок  25 45° (600/50шт)</t>
  </si>
  <si>
    <t>10.26 руб.</t>
  </si>
  <si>
    <t>OTM-110121</t>
  </si>
  <si>
    <t>PPR ТМ Уголок  32 45° (300/30шт)</t>
  </si>
  <si>
    <t>18.81 руб.</t>
  </si>
  <si>
    <t>OTM-110122</t>
  </si>
  <si>
    <t>PPR ТМ Уголок  40 45° (160шт)</t>
  </si>
  <si>
    <t>OTM-110123</t>
  </si>
  <si>
    <t>PPR ТМ Уголок  50 45° (144шт)</t>
  </si>
  <si>
    <t>58.14 руб.</t>
  </si>
  <si>
    <t>OTM-110124</t>
  </si>
  <si>
    <t>PPR ТМ Уголок  63 45° (70шт)</t>
  </si>
  <si>
    <t>OTM-110125</t>
  </si>
  <si>
    <t>PPR ТМ Уголок  20  90° (800/80шт)</t>
  </si>
  <si>
    <t>OTM-110126</t>
  </si>
  <si>
    <t>PPR ТМ Уголок  25  90° (500/50шт)</t>
  </si>
  <si>
    <t>OTM-110127</t>
  </si>
  <si>
    <t>PPR ТМ Уголок  32  90° (300/30шт)</t>
  </si>
  <si>
    <t>OTM-110128</t>
  </si>
  <si>
    <t>PPR ТМ Уголок  40  90° (160/20шт)</t>
  </si>
  <si>
    <t>OTM-110129</t>
  </si>
  <si>
    <t>PPR ТМ Уголок  50  90° (108шт)</t>
  </si>
  <si>
    <t>54.72 руб.</t>
  </si>
  <si>
    <t>OTM-110130</t>
  </si>
  <si>
    <t>PPR ТМ Уголок  63  90° (64шт)</t>
  </si>
  <si>
    <t>OTM-110131</t>
  </si>
  <si>
    <t>PPR ТМ Уголок  75  90° (32шт)</t>
  </si>
  <si>
    <t>208.62 руб.</t>
  </si>
  <si>
    <t>OTM-110132</t>
  </si>
  <si>
    <t>PPR ТМ Уголок  90  90° (22шт)</t>
  </si>
  <si>
    <t>355.68 руб.</t>
  </si>
  <si>
    <t>OTM-110133</t>
  </si>
  <si>
    <t>PPR ТМ Уголок  110  90° (12шт)</t>
  </si>
  <si>
    <t>557.46 руб.</t>
  </si>
  <si>
    <t>OTM-110134</t>
  </si>
  <si>
    <t>PPR ТМ Уголок  перех.32×20 (450/50шт)</t>
  </si>
  <si>
    <t>13.68 руб.</t>
  </si>
  <si>
    <t>OTM-110135</t>
  </si>
  <si>
    <t>PPR ТМ Уголок  перех.32×25 (360/40шт)</t>
  </si>
  <si>
    <t>OTM-110136</t>
  </si>
  <si>
    <t>PPR ТМ Тройник 20 (600/50шт)</t>
  </si>
  <si>
    <t>8.55 руб.</t>
  </si>
  <si>
    <t>OTM-110137</t>
  </si>
  <si>
    <t>PPR ТМ Тройник 25 (360/30шт)</t>
  </si>
  <si>
    <t>OTM-110138</t>
  </si>
  <si>
    <t>PPR ТМ Тройник 32 (200/20шт)</t>
  </si>
  <si>
    <t>22.23 руб.</t>
  </si>
  <si>
    <t>OTM-110139</t>
  </si>
  <si>
    <t>PPR ТМ Тройник 40 (120/10шт)</t>
  </si>
  <si>
    <t>44.46 руб.</t>
  </si>
  <si>
    <t>OTM-110140</t>
  </si>
  <si>
    <t>PPR ТМ Тройник 50 (77шт)</t>
  </si>
  <si>
    <t>64.98 руб.</t>
  </si>
  <si>
    <t>OTM-110141</t>
  </si>
  <si>
    <t>PPR ТМ Тройник 63 (42шт)</t>
  </si>
  <si>
    <t>106.02 руб.</t>
  </si>
  <si>
    <t>OTM-110142</t>
  </si>
  <si>
    <t>PPR ТМ Тройник 75 (32шт)</t>
  </si>
  <si>
    <t>237.69 руб.</t>
  </si>
  <si>
    <t>OTM-110143</t>
  </si>
  <si>
    <t>PPR ТМ Тройник 90 (18шт)</t>
  </si>
  <si>
    <t>420.66 руб.</t>
  </si>
  <si>
    <t>OTM-110144</t>
  </si>
  <si>
    <t>PPR ТМ Тройник 110 (12шт)</t>
  </si>
  <si>
    <t>636.12 руб.</t>
  </si>
  <si>
    <t>OTM-110145</t>
  </si>
  <si>
    <t>PPR ТМ Тройник перех.25×20 (440/40шт)</t>
  </si>
  <si>
    <t>OTM-110146</t>
  </si>
  <si>
    <t>PPR ТМ Тройник перех.32×20 (240/20шт)</t>
  </si>
  <si>
    <t>OTM-110147</t>
  </si>
  <si>
    <t>PPR ТМ Тройник перех.32×25 (240/30шт)</t>
  </si>
  <si>
    <t>OTM-110148</t>
  </si>
  <si>
    <t>PPR ТМ Тройник перех.40×20 (180/15шт)</t>
  </si>
  <si>
    <t>30.78 руб.</t>
  </si>
  <si>
    <t>OTM-110149</t>
  </si>
  <si>
    <t>PPR ТМ Тройник перех.40×25 (140/10шт)</t>
  </si>
  <si>
    <t>OTM-110150</t>
  </si>
  <si>
    <t>PPR ТМ Тройник перех.40×32 (140/10шт)</t>
  </si>
  <si>
    <t>37.62 руб.</t>
  </si>
  <si>
    <t>OTM-110151</t>
  </si>
  <si>
    <t>PPR ТМ Заглушка ППР 20 (2400шт)</t>
  </si>
  <si>
    <t>OTM-110152</t>
  </si>
  <si>
    <t>PPR ТМ Заглушка ППР 25 (1400шт)</t>
  </si>
  <si>
    <t>OTM-110153</t>
  </si>
  <si>
    <t>PPR ТМ Заглушка ППР 32 (1000шт)</t>
  </si>
  <si>
    <t>OTM-110154</t>
  </si>
  <si>
    <t>PPR ТМ Заглушка ППР 1/2 вн (2600/200шт)</t>
  </si>
  <si>
    <t>OTM-110155</t>
  </si>
  <si>
    <t>PPR ТМ Заглушка ППР 3/4 вн (1600/200шт)</t>
  </si>
  <si>
    <t>15.39 руб.</t>
  </si>
  <si>
    <t>OTM-110156</t>
  </si>
  <si>
    <t>PPR ТМ Опора 16 (2600шт)</t>
  </si>
  <si>
    <t>3.42 руб.</t>
  </si>
  <si>
    <t>OTM-110157</t>
  </si>
  <si>
    <t>PPR ТМ Опора 20 (2000шт)</t>
  </si>
  <si>
    <t>OTM-110158</t>
  </si>
  <si>
    <t>PPR ТМ Опора 25 (1800шт)</t>
  </si>
  <si>
    <t>OTM-110159</t>
  </si>
  <si>
    <t>PPR ТМ Опора 32 (1200шт)</t>
  </si>
  <si>
    <t>OTM-110160</t>
  </si>
  <si>
    <t>PPR ТМ Обвод раструбный 20 (500шт)</t>
  </si>
  <si>
    <t>OTM-110161</t>
  </si>
  <si>
    <t>PPR ТМ Обвод раструбный 25 (300шт)</t>
  </si>
  <si>
    <t>OTM-110162</t>
  </si>
  <si>
    <t>PPR ТМ Обвод раструбный 32 (180шт)</t>
  </si>
  <si>
    <t>OTM-110163</t>
  </si>
  <si>
    <t>PPR ТМ Муфта  20х1/2 НР  (240/20шт)</t>
  </si>
  <si>
    <t>OTM-110164</t>
  </si>
  <si>
    <t>PPR ТМ Муфта  20х3/4 НР  (160/20шт)</t>
  </si>
  <si>
    <t>OTM-110165</t>
  </si>
  <si>
    <t>PPR ТМ Муфта  25х1/2 НР  (180/30шт)</t>
  </si>
  <si>
    <t>OTM-110166</t>
  </si>
  <si>
    <t>PPR ТМ Муфта  25х3/4 НР  (150/25шт)</t>
  </si>
  <si>
    <t>OTM-110167</t>
  </si>
  <si>
    <t>PPR ТМ Муфта  32х1/2 НР  (180/20шт)</t>
  </si>
  <si>
    <t>53.01 руб.</t>
  </si>
  <si>
    <t>OTM-110168</t>
  </si>
  <si>
    <t>PPR ТМ Муфта  32х3/4 НР  (140/20шт)</t>
  </si>
  <si>
    <t>75.24 руб.</t>
  </si>
  <si>
    <t>OTM-110169</t>
  </si>
  <si>
    <t>PPR ТМ Муфта  32х1 НР  (90/15шт)</t>
  </si>
  <si>
    <t>117.99 руб.</t>
  </si>
  <si>
    <t>OTM-110170</t>
  </si>
  <si>
    <t>PPR ТМ Муфта  40х1 НР  (100/10шт)</t>
  </si>
  <si>
    <t>OTM-110171</t>
  </si>
  <si>
    <t>PPR ТМ Муфта  40х5/4 НР  (60/10шт)</t>
  </si>
  <si>
    <t>249.66 руб.</t>
  </si>
  <si>
    <t>OTM-110172</t>
  </si>
  <si>
    <t>PPR ТМ Муфта  50х3/2 НР  (50/5шт)</t>
  </si>
  <si>
    <t>311.22 руб.</t>
  </si>
  <si>
    <t>OTM-110173</t>
  </si>
  <si>
    <t>PPR ТМ Муфта  63х2 НР  (44/2шт)</t>
  </si>
  <si>
    <t>495.90 руб.</t>
  </si>
  <si>
    <t>OTM-110174</t>
  </si>
  <si>
    <t>PPR ТМ Муфта  20х1/2 вн (270/30шт)</t>
  </si>
  <si>
    <t>OTM-110175</t>
  </si>
  <si>
    <t>PPR ТМ Муфта  20х3/4 вн  (200/25шт)</t>
  </si>
  <si>
    <t>OTM-110176</t>
  </si>
  <si>
    <t>PPR ТМ Муфта  25х1/2 вн  (270/30шт)</t>
  </si>
  <si>
    <t>OTM-110177</t>
  </si>
  <si>
    <t>PPR ТМ Муфта  25х3/4 вн  (200/25шт)</t>
  </si>
  <si>
    <t>OTM-110178</t>
  </si>
  <si>
    <t>PPR ТМ Муфта  32х1/2 вн  (200/20шт)</t>
  </si>
  <si>
    <t>OTM-110179</t>
  </si>
  <si>
    <t>PPR ТМ Муфта  32х3/4 вн  (180/20шт)</t>
  </si>
  <si>
    <t>OTM-110180</t>
  </si>
  <si>
    <t>PPR ТМ Муфта  32х1 вн  (135/15шт)</t>
  </si>
  <si>
    <t>OTM-110181</t>
  </si>
  <si>
    <t>PPR ТМ Муфта  40х1 вн  (100/10шт)</t>
  </si>
  <si>
    <t>OTM-110182</t>
  </si>
  <si>
    <t>PPR ТМ Муфта  40х5/4 вн  (80/10шт)</t>
  </si>
  <si>
    <t>210.33 руб.</t>
  </si>
  <si>
    <t>OTM-110183</t>
  </si>
  <si>
    <t>PPR ТМ Муфта  50х3/2 вн  (60/5шт)</t>
  </si>
  <si>
    <t>263.34 руб.</t>
  </si>
  <si>
    <t>OTM-110184</t>
  </si>
  <si>
    <t>PPR ТМ Муфта  63х2 вн  (24/2шт)</t>
  </si>
  <si>
    <t>386.46 руб.</t>
  </si>
  <si>
    <t>OTM-110185</t>
  </si>
  <si>
    <t>PPR ТМ Угольник 20х1/2 НР (180/20шт)</t>
  </si>
  <si>
    <t>51.30 руб.</t>
  </si>
  <si>
    <t>OTM-110186</t>
  </si>
  <si>
    <t>PPR ТМ Угольник 20х3/4 НР (130/10шт)</t>
  </si>
  <si>
    <t>OTM-110187</t>
  </si>
  <si>
    <t>PPR ТМ Угольник 25х1/2 НР (160/20шт)</t>
  </si>
  <si>
    <t>OTM-110188</t>
  </si>
  <si>
    <t>PPR ТМ Угольник 25х3/4 НР (120/15шт)</t>
  </si>
  <si>
    <t>82.08 руб.</t>
  </si>
  <si>
    <t>OTM-110189</t>
  </si>
  <si>
    <t>PPR ТМ Угольник 32х1/2 НР (120/15шт)</t>
  </si>
  <si>
    <t>OTM-110190</t>
  </si>
  <si>
    <t>PPR ТМ Угольник 32х3/4 НР (90/10шт)</t>
  </si>
  <si>
    <t>OTM-110191</t>
  </si>
  <si>
    <t>PPR ТМ Угольник 32х1 НР (70/10шт)</t>
  </si>
  <si>
    <t>OTM-110192</t>
  </si>
  <si>
    <t>PPR ТМ Угольник 20х1/2 вн  (240/30шт)</t>
  </si>
  <si>
    <t>42.75 руб.</t>
  </si>
  <si>
    <t>OTM-110193</t>
  </si>
  <si>
    <t>PPR ТМ Угольник 20х3/4 вн  (160/20шт)</t>
  </si>
  <si>
    <t>OTM-110194</t>
  </si>
  <si>
    <t>PPR ТМ Угольник 25х1/2 вн  (180/20шт)</t>
  </si>
  <si>
    <t>49.59 руб.</t>
  </si>
  <si>
    <t>OTM-110195</t>
  </si>
  <si>
    <t>PPR ТМ Угольник 25х3/4 вн  (135/15шт)</t>
  </si>
  <si>
    <t>OTM-110196</t>
  </si>
  <si>
    <t>PPR ТМ Угольник 32х1/2 вн  (120/15шт)</t>
  </si>
  <si>
    <t>OTM-110197</t>
  </si>
  <si>
    <t>PPR ТМ Угольник 32х3/4 вн  (120/ 10шт)</t>
  </si>
  <si>
    <t>76.95 руб.</t>
  </si>
  <si>
    <t>OTM-110198</t>
  </si>
  <si>
    <t>PPR ТМ Угольник 32х1 вн  (90/10шт)</t>
  </si>
  <si>
    <t>121.41 руб.</t>
  </si>
  <si>
    <t>OTM-110199</t>
  </si>
  <si>
    <t>PPR ТМ уголок с крепежом 20х1/2 вн  (160/20шт)</t>
  </si>
  <si>
    <t>OTM-110200</t>
  </si>
  <si>
    <t>PPR ТМ уголок с крепежом 25х1/2 вн  (230/10шт)</t>
  </si>
  <si>
    <t>OTM-110201</t>
  </si>
  <si>
    <t>PPR ТМ уголок с крепежом 25х3/4 вн  (180/10шт)</t>
  </si>
  <si>
    <t>73.53 руб.</t>
  </si>
  <si>
    <t>OTM-110202</t>
  </si>
  <si>
    <t>PPR ТМ уголок с крепежом 20х1/2 HP  (135/15шт)</t>
  </si>
  <si>
    <t>OTM-110203</t>
  </si>
  <si>
    <t>PPR ТМ планка для смесителя ZL20х1/2FA (90/10шт)</t>
  </si>
  <si>
    <t>100.89 руб.</t>
  </si>
  <si>
    <t>OTM-110204</t>
  </si>
  <si>
    <t>PPR ТМ планка для смесителя ZL25×1/2FA (70/10шт)</t>
  </si>
  <si>
    <t>114.57 руб.</t>
  </si>
  <si>
    <t>OTM-110205</t>
  </si>
  <si>
    <t>PPR ТМ Тройник 20х1/2 НР  (160/20шт)</t>
  </si>
  <si>
    <t>OTM-110206</t>
  </si>
  <si>
    <t>PPR ТМ Тройник 20х3/4 НР  (135/15шт)</t>
  </si>
  <si>
    <t>78.66 руб.</t>
  </si>
  <si>
    <t>OTM-110207</t>
  </si>
  <si>
    <t>PPR ТМ Тройник 25х1/2 НР  (120/15шт)</t>
  </si>
  <si>
    <t>OTM-110208</t>
  </si>
  <si>
    <t>PPR ТМ Тройник 25х3/4 НР  (80/10шт)</t>
  </si>
  <si>
    <t>85.50 руб.</t>
  </si>
  <si>
    <t>OTM-110209</t>
  </si>
  <si>
    <t>PPR ТМ Тройник 32х1/2 НР  (180/10шт)</t>
  </si>
  <si>
    <t>OTM-110210</t>
  </si>
  <si>
    <t>PPR ТМ Тройник 32х3/4 НР  (80/10шт)</t>
  </si>
  <si>
    <t>95.76 руб.</t>
  </si>
  <si>
    <t>OTM-110211</t>
  </si>
  <si>
    <t>PPR ТМ Тройник 32х1 НР  (60/10шт)</t>
  </si>
  <si>
    <t>OTM-110212</t>
  </si>
  <si>
    <t>PPR ТМ Тройник T20х1/2 вн (160/20шт)</t>
  </si>
  <si>
    <t>OTM-110213</t>
  </si>
  <si>
    <t>PPR ТМ Тройник T20х3/4 вн (150/15шт)</t>
  </si>
  <si>
    <t>OTM-110214</t>
  </si>
  <si>
    <t>PPR ТМ Тройник T25х1/2 вн (130/10шт)</t>
  </si>
  <si>
    <t>OTM-110215</t>
  </si>
  <si>
    <t>PPR ТМ Тройник T25х3/4 вн (100/10шт)</t>
  </si>
  <si>
    <t>OTM-110216</t>
  </si>
  <si>
    <t>PPR ТМ Тройник T32х1/2 вн (190/10шт)</t>
  </si>
  <si>
    <t>59.85 руб.</t>
  </si>
  <si>
    <t>OTM-110217</t>
  </si>
  <si>
    <t>PPR ТМ Тройник T32х3/4 вн (150/10шт)</t>
  </si>
  <si>
    <t>OTM-110218</t>
  </si>
  <si>
    <t>PPR ТМ Тройник T32х1 вн (130/10шт)</t>
  </si>
  <si>
    <t>126.54 руб.</t>
  </si>
  <si>
    <t>OTM-110219</t>
  </si>
  <si>
    <t>PPR ТМ Муфта с накидной гайк S20×1/2вн (270/30шт)</t>
  </si>
  <si>
    <t>OTM-110220</t>
  </si>
  <si>
    <t>PPR ТМ Муфта с накидной гайк S25×3/4вн (240/30шт)</t>
  </si>
  <si>
    <t>OTM-110221</t>
  </si>
  <si>
    <t>PPR ТМ Угольник с накидной гайк L20×1/2вн (250/25шт)</t>
  </si>
  <si>
    <t>99.18 руб.</t>
  </si>
  <si>
    <t>OTM-110222</t>
  </si>
  <si>
    <t>PPR ТМ Угольник с накидной гайк L25×3/4вн (160/20шт)</t>
  </si>
  <si>
    <t>OTM-110223</t>
  </si>
  <si>
    <t>PPR ТМ Тройник с накидной гайк T20×1/2вн (220/20шт)</t>
  </si>
  <si>
    <t>OTM-110224</t>
  </si>
  <si>
    <t>PPR ТМ Фильтр сетчатый косой Φ20 (160/10шт)</t>
  </si>
  <si>
    <t>OTM-110225</t>
  </si>
  <si>
    <t>PPR ТМ Фильтр сетчатый косой Φ25 (110/10шт)</t>
  </si>
  <si>
    <t>147.06 руб.</t>
  </si>
  <si>
    <t>OTM-110226</t>
  </si>
  <si>
    <t>PPR ТМ Фильтр сетчатый косой Φ32 (70/10шт)</t>
  </si>
  <si>
    <t>OTM-110227</t>
  </si>
  <si>
    <t>PPR ТМ Кран с латунным шариком 20  (100/10шт)</t>
  </si>
  <si>
    <t>205.20 руб.</t>
  </si>
  <si>
    <t>OTM-110228</t>
  </si>
  <si>
    <t>PPR ТМ Кран шаровый 20 (сталь шар) (110/10шт)</t>
  </si>
  <si>
    <t>OTM-110229</t>
  </si>
  <si>
    <t>PPR ТМ Кран шаровый 25 (сталь шар) (80/10шт)</t>
  </si>
  <si>
    <t>80.37 руб.</t>
  </si>
  <si>
    <t>OTM-110230</t>
  </si>
  <si>
    <t>PPR ТМ Кран шаровый 32 (сталь шар) (60/10шт)</t>
  </si>
  <si>
    <t>116.28 руб.</t>
  </si>
  <si>
    <t>OTM-110231</t>
  </si>
  <si>
    <t>PPR ТМ Кран шаровый 40 (сталь шар) (50/5шт)</t>
  </si>
  <si>
    <t>319.77 руб.</t>
  </si>
  <si>
    <t>OTM-110232</t>
  </si>
  <si>
    <t>PPR ТМ Кран шаровый 50 (сталь шар) (30/2шт)</t>
  </si>
  <si>
    <t>432.63 руб.</t>
  </si>
  <si>
    <t>OTM-110233</t>
  </si>
  <si>
    <t>PPR ТМ Кран шаровый 63 (сталь шар) (20/1шт)</t>
  </si>
  <si>
    <t>820.80 руб.</t>
  </si>
  <si>
    <t>OTM-110234</t>
  </si>
  <si>
    <t>PPR ТМ Кран для радиатора угловой 25×1/2 нар (сталь. шар.) (90/10шт)</t>
  </si>
  <si>
    <t>OTM-110235</t>
  </si>
  <si>
    <t>PPR ТМ Кран для радиатора угловой 25×3/4 нар (сталь. шар.) (60/10шт)</t>
  </si>
  <si>
    <t>232.56 руб.</t>
  </si>
  <si>
    <t>OTM-110236</t>
  </si>
  <si>
    <t>PPR ТМ Кран для радиатора прямой 25×1/2 нар (сталь. шар.) (100/10шт)</t>
  </si>
  <si>
    <t>212.04 руб.</t>
  </si>
  <si>
    <t>OTM-110237</t>
  </si>
  <si>
    <t>PPR ТМ Кран для радиатора прямой 25×3/4 нар (сталь. шар.) (80/10шт)</t>
  </si>
  <si>
    <t>251.37 руб.</t>
  </si>
  <si>
    <t>OTM-110238</t>
  </si>
  <si>
    <t>PPR ТМ Вентиль  прямой 20  (90/10шт)</t>
  </si>
  <si>
    <t>184.68 руб.</t>
  </si>
  <si>
    <t>OTM-110239</t>
  </si>
  <si>
    <t>PPR ТМ Вентиль  прямой 25  (70/10шт)</t>
  </si>
  <si>
    <t>239.40 руб.</t>
  </si>
  <si>
    <t>OTM-110240</t>
  </si>
  <si>
    <t>PPR ТМ Вентиль  прямой 32  (50/10шт)</t>
  </si>
  <si>
    <t>287.28 руб.</t>
  </si>
  <si>
    <t>Фитинги полипропиленовые VALTEC</t>
  </si>
  <si>
    <t>VLC-330001</t>
  </si>
  <si>
    <t>VTp.701.0.02004</t>
  </si>
  <si>
    <t>Соединитель PPR с переходом на нар. р. 20х1/2"   (10 /350шт)</t>
  </si>
  <si>
    <t>162.00 руб.</t>
  </si>
  <si>
    <t>VLC-330002</t>
  </si>
  <si>
    <t>VTp.701.0.02005</t>
  </si>
  <si>
    <t>Соединитель PPR с переходом на нар. р. 20х3/4"  (10 /220шт)</t>
  </si>
  <si>
    <t>211.00 руб.</t>
  </si>
  <si>
    <t>VLC-330003</t>
  </si>
  <si>
    <t>VTp.701.0.02504</t>
  </si>
  <si>
    <t>Соединитель PPR с переходом на нар. р. 25х1/2"  (10 /270шт)</t>
  </si>
  <si>
    <t>166.00 руб.</t>
  </si>
  <si>
    <t>VLC-330004</t>
  </si>
  <si>
    <t>VTp.701.0.02505</t>
  </si>
  <si>
    <t>Соединитель PPR с переходом на нар. р. 25х3/4"  (10 /200шт)</t>
  </si>
  <si>
    <t>246.00 руб.</t>
  </si>
  <si>
    <t>VLC-330005</t>
  </si>
  <si>
    <t>VTp.701.0.03204</t>
  </si>
  <si>
    <t>Соединитель PPR с переходом на нар. р. 32х1/2"  (5 /155шт)</t>
  </si>
  <si>
    <t>191.00 руб.</t>
  </si>
  <si>
    <t>VLC-330006</t>
  </si>
  <si>
    <t>VTp.701.0.03205</t>
  </si>
  <si>
    <t>Соединитель PPR с переходом на нар. р. 32х3/4"  (5 /150шт)</t>
  </si>
  <si>
    <t>262.00 руб.</t>
  </si>
  <si>
    <t>VLC-330007</t>
  </si>
  <si>
    <t>VTp.701.0.03206</t>
  </si>
  <si>
    <t>Соединитель PPR с переходом на нар. р. 32х1"  (5 /135шт)</t>
  </si>
  <si>
    <t>423.00 руб.</t>
  </si>
  <si>
    <t>VLC-330008</t>
  </si>
  <si>
    <t>VTp.702.0.02004</t>
  </si>
  <si>
    <t>Соединитель PPR с переходом на вн. р. 20х1/2"  (10 /360шт)</t>
  </si>
  <si>
    <t>VLC-330009</t>
  </si>
  <si>
    <t>VTp.702.0.02005</t>
  </si>
  <si>
    <t>Соединитель PPR с переходом на вн. р. 20х3/4"  (10 /300шт)</t>
  </si>
  <si>
    <t>167.00 руб.</t>
  </si>
  <si>
    <t>VLC-330010</t>
  </si>
  <si>
    <t>VTp.702.0.02504</t>
  </si>
  <si>
    <t>Соединитель PPR с переходом на вн. р. 25х1/2"  (10 /330шт)</t>
  </si>
  <si>
    <t>123.00 руб.</t>
  </si>
  <si>
    <t>VLC-330011</t>
  </si>
  <si>
    <t>VTp.702.0.02505</t>
  </si>
  <si>
    <t>Соединитель PPR с переходом на вн. р. 25х3/4"  (10 /200шт)</t>
  </si>
  <si>
    <t>VLC-330012</t>
  </si>
  <si>
    <t>VTp.702.0.03204</t>
  </si>
  <si>
    <t>Соединитель PPR с переходом на вн. р. 32х1/2"   (5 /180шт)</t>
  </si>
  <si>
    <t>159.00 руб.</t>
  </si>
  <si>
    <t>VLC-330013</t>
  </si>
  <si>
    <t>VTp.702.0.03205</t>
  </si>
  <si>
    <t>Соединитель PPR с переходом на вн. р. 32х3/4"   (5 /210шт)</t>
  </si>
  <si>
    <t>187.00 руб.</t>
  </si>
  <si>
    <t>VLC-330014</t>
  </si>
  <si>
    <t>VTp.702.0.03206</t>
  </si>
  <si>
    <t>Соединитель PPR с переходом на вн. р. 32х1"  (5 /160шт)</t>
  </si>
  <si>
    <t>VLC-330015</t>
  </si>
  <si>
    <t>VTp.703.0.020</t>
  </si>
  <si>
    <t>Муфта PPR 20мм  (10 /480шт)</t>
  </si>
  <si>
    <t>12.00 руб.</t>
  </si>
  <si>
    <t>VLC-330016</t>
  </si>
  <si>
    <t>VTp.703.0.025</t>
  </si>
  <si>
    <t>Муфта PPR 25мм   (10 /360шт)</t>
  </si>
  <si>
    <t>15.00 руб.</t>
  </si>
  <si>
    <t>VLC-330017</t>
  </si>
  <si>
    <t>VTp.703.0.032</t>
  </si>
  <si>
    <t>Муфта PPR 32мм (5 /225шт)</t>
  </si>
  <si>
    <t>24.00 руб.</t>
  </si>
  <si>
    <t>VLC-330018</t>
  </si>
  <si>
    <t>VTp.703.0.040</t>
  </si>
  <si>
    <t>Муфта PPR 40мм  (5 /130шт)</t>
  </si>
  <si>
    <t>43.00 руб.</t>
  </si>
  <si>
    <t>VLC-330019</t>
  </si>
  <si>
    <t>VTp.703.0.050</t>
  </si>
  <si>
    <t>Муфта PPR 50мм  (5 /80шт)</t>
  </si>
  <si>
    <t>71.00 руб.</t>
  </si>
  <si>
    <t>VLC-330020</t>
  </si>
  <si>
    <t>VTp.703.0.063</t>
  </si>
  <si>
    <t>Муфта PPR 63 (2 /46шт)</t>
  </si>
  <si>
    <t>VLC-330021</t>
  </si>
  <si>
    <t>VTp.703.0.075</t>
  </si>
  <si>
    <t>Муфта PPR 75мм   (2 /24шт)</t>
  </si>
  <si>
    <t>274.00 руб.</t>
  </si>
  <si>
    <t>VLC-330022</t>
  </si>
  <si>
    <t>VTp.703.0.090</t>
  </si>
  <si>
    <t>Муфта PPR 90мм   (2 /16шт)</t>
  </si>
  <si>
    <t>445.00 руб.</t>
  </si>
  <si>
    <t>VLC-330023</t>
  </si>
  <si>
    <t>VTp.704.0.025020</t>
  </si>
  <si>
    <t>Муфта переходная PPR 25-20мм, нар-вн  (10 /600шт)</t>
  </si>
  <si>
    <t>13.00 руб.</t>
  </si>
  <si>
    <t>VLC-330024</t>
  </si>
  <si>
    <t>VTp.704.0.032020</t>
  </si>
  <si>
    <t>Муфта переходная PPR 32-20мм, нар-вн   (5 /360шт)</t>
  </si>
  <si>
    <t>VLC-330025</t>
  </si>
  <si>
    <t>VTp.704.0.032025</t>
  </si>
  <si>
    <t>Муфта переходная PPR 32-25мм, нар-вн  (5 /300шт)</t>
  </si>
  <si>
    <t>17.00 руб.</t>
  </si>
  <si>
    <t>VLC-330026</t>
  </si>
  <si>
    <t>VTp.704.0.040020</t>
  </si>
  <si>
    <t>Муфта переходная PPR 40-20мм, нар-вн  (5 /270шт)</t>
  </si>
  <si>
    <t>23.00 руб.</t>
  </si>
  <si>
    <t>VLC-330027</t>
  </si>
  <si>
    <t>VTp.704.0.040025</t>
  </si>
  <si>
    <t>Муфта переходная PPR 40-25мм, нар-вн  (5 /250шт)</t>
  </si>
  <si>
    <t>25.00 руб.</t>
  </si>
  <si>
    <t>VLC-330028</t>
  </si>
  <si>
    <t>VTp.704.0.040032</t>
  </si>
  <si>
    <t>Муфта переходная PPR 40-32мм, нар-вн  (5 /200шт)</t>
  </si>
  <si>
    <t>28.00 руб.</t>
  </si>
  <si>
    <t>VLC-330029</t>
  </si>
  <si>
    <t>VTp.704.0.050020</t>
  </si>
  <si>
    <t>Муфта переходная PPR 50-20мм, нар-вн  (5 /180шт)</t>
  </si>
  <si>
    <t>35.00 руб.</t>
  </si>
  <si>
    <t>VLC-330030</t>
  </si>
  <si>
    <t>VTp.704.0.050025</t>
  </si>
  <si>
    <t>Муфта переходная PPR 50-25мм, нар-вн  (5 /170шт)</t>
  </si>
  <si>
    <t>40.00 руб.</t>
  </si>
  <si>
    <t>VLC-330031</t>
  </si>
  <si>
    <t>VTp.704.0.050032</t>
  </si>
  <si>
    <t>Муфта переходная PPR 50-32мм, нар-вн  (5 /140шт)</t>
  </si>
  <si>
    <t>44.00 руб.</t>
  </si>
  <si>
    <t>VLC-330032</t>
  </si>
  <si>
    <t>VTp.704.0.050040</t>
  </si>
  <si>
    <t>Муфта переходная PPR 50-40мм, нар-вн  (5 /120шт)</t>
  </si>
  <si>
    <t>53.00 руб.</t>
  </si>
  <si>
    <t>VLC-330033</t>
  </si>
  <si>
    <t>VTp.704.0.063020</t>
  </si>
  <si>
    <t>Муфта переходная PPR 63-20мм, нар-вн  (5 /110шт)</t>
  </si>
  <si>
    <t>65.00 руб.</t>
  </si>
  <si>
    <t>VLC-330034</t>
  </si>
  <si>
    <t>VTp.704.0.063025</t>
  </si>
  <si>
    <t>Муфта переходная PPR 63-25мм, нар-вн  (5 /115шт)</t>
  </si>
  <si>
    <t>58.00 руб.</t>
  </si>
  <si>
    <t>VLC-330035</t>
  </si>
  <si>
    <t>VTp.704.0.063032</t>
  </si>
  <si>
    <t>Муфта переходная PPR 63-32мм, нар-вн  (5 /90шт)</t>
  </si>
  <si>
    <t>61.00 руб.</t>
  </si>
  <si>
    <t>VLC-330036</t>
  </si>
  <si>
    <t>VTp.704.0.063040</t>
  </si>
  <si>
    <t>Муфта переходная PPR 63-40мм, нар-вн  (5 /80шт)</t>
  </si>
  <si>
    <t>75.00 руб.</t>
  </si>
  <si>
    <t>VLC-330037</t>
  </si>
  <si>
    <t>VTp.704.0.063050</t>
  </si>
  <si>
    <t>Муфта переходная PPR 63-50мм, нар-вн  (5 /70шт)</t>
  </si>
  <si>
    <t>87.00 руб.</t>
  </si>
  <si>
    <t>VLC-330038</t>
  </si>
  <si>
    <t>VTp.704.0.075050</t>
  </si>
  <si>
    <t>Муфта переходная PPR 75-50мм, нар-вн   (2 /60шт)</t>
  </si>
  <si>
    <t>116.00 руб.</t>
  </si>
  <si>
    <t>VLC-330039</t>
  </si>
  <si>
    <t>VTp.704.0.075063</t>
  </si>
  <si>
    <t>Муфта переходная PPR 75-63мм, нар-вн   (2 /42шт)</t>
  </si>
  <si>
    <t>175.00 руб.</t>
  </si>
  <si>
    <t>VLC-330040</t>
  </si>
  <si>
    <t>VTp.704.0.090063</t>
  </si>
  <si>
    <t>Муфта переходная PPR 90-63мм, нар-вн   (2 /36шт)</t>
  </si>
  <si>
    <t>232.00 руб.</t>
  </si>
  <si>
    <t>VLC-330041</t>
  </si>
  <si>
    <t>VTp.704.0.090075</t>
  </si>
  <si>
    <t>Муфта переходная PPR 90-75мм, нар-вн   (2 /20шт)</t>
  </si>
  <si>
    <t>226.00 руб.</t>
  </si>
  <si>
    <t>VLC-330042</t>
  </si>
  <si>
    <t>VTp.705.0.025020</t>
  </si>
  <si>
    <t>Муфта переходная PPR 25-20мм  (10 /440шт)</t>
  </si>
  <si>
    <t>VLC-330043</t>
  </si>
  <si>
    <t>VTp.705.0.032020</t>
  </si>
  <si>
    <t>Муфта переходная PPR 32-20мм  (5 /255шт)</t>
  </si>
  <si>
    <t>18.00 руб.</t>
  </si>
  <si>
    <t>VLC-330044</t>
  </si>
  <si>
    <t>VTp.705.0.032025</t>
  </si>
  <si>
    <t>Муфта переходная PPR 32-25мм  (5 /240шт)</t>
  </si>
  <si>
    <t>VLC-330045</t>
  </si>
  <si>
    <t>VTp.705.0.040020</t>
  </si>
  <si>
    <t>Муфта переходная PPR 40-20мм   (5 /180шт)</t>
  </si>
  <si>
    <t>31.00 руб.</t>
  </si>
  <si>
    <t>VLC-330046</t>
  </si>
  <si>
    <t>VTp.705.0.040025</t>
  </si>
  <si>
    <t>Муфта переходная PPR 40-25мм  (5 /150шт)</t>
  </si>
  <si>
    <t>32.00 руб.</t>
  </si>
  <si>
    <t>VLC-330047</t>
  </si>
  <si>
    <t>VTp.705.0.040032</t>
  </si>
  <si>
    <t>Муфта переходная PPR 40-32мм  (5 /140шт)</t>
  </si>
  <si>
    <t>VLC-330048</t>
  </si>
  <si>
    <t>VTp.705.0.050020</t>
  </si>
  <si>
    <t>Муфта переходная PPR 50-20мм  (5 /110шт)</t>
  </si>
  <si>
    <t>52.00 руб.</t>
  </si>
  <si>
    <t>VLC-330049</t>
  </si>
  <si>
    <t>VTp.705.0.050025</t>
  </si>
  <si>
    <t>Муфта переходная PPR 50-25мм  (5 /110шт)</t>
  </si>
  <si>
    <t>49.00 руб.</t>
  </si>
  <si>
    <t>VLC-330050</t>
  </si>
  <si>
    <t>VTp.705.0.050032</t>
  </si>
  <si>
    <t>Муфта переходная PPR 50-32мм  (5 /100шт)</t>
  </si>
  <si>
    <t>60.00 руб.</t>
  </si>
  <si>
    <t>VLC-330051</t>
  </si>
  <si>
    <t>VTp.705.0.050040</t>
  </si>
  <si>
    <t>Муфта переходная PPR 50-40мм  (5 /80шт)</t>
  </si>
  <si>
    <t>VLC-330052</t>
  </si>
  <si>
    <t>VTp.705.0.063020</t>
  </si>
  <si>
    <t>Муфта переходная PPR 63-20мм   (2 /66шт)</t>
  </si>
  <si>
    <t>86.00 руб.</t>
  </si>
  <si>
    <t>VLC-330053</t>
  </si>
  <si>
    <t>VTp.705.0.063025</t>
  </si>
  <si>
    <t>Муфта переходная PPR 63-25мм  (2 /66шт)</t>
  </si>
  <si>
    <t>103.00 руб.</t>
  </si>
  <si>
    <t>VLC-330054</t>
  </si>
  <si>
    <t>VTp.705.0.063032</t>
  </si>
  <si>
    <t>Муфта переходная PPR 63-32мм   (2 /72шт)</t>
  </si>
  <si>
    <t>102.00 руб.</t>
  </si>
  <si>
    <t>VLC-330055</t>
  </si>
  <si>
    <t>VTp.705.0.063040</t>
  </si>
  <si>
    <t>Муфта переходная PPR 63-40мм  (2 /66шт)</t>
  </si>
  <si>
    <t>VLC-330056</t>
  </si>
  <si>
    <t>VTp.705.0.063050</t>
  </si>
  <si>
    <t>Муфта переходная PPR 63-50мм   (2 /48шт)</t>
  </si>
  <si>
    <t>119.00 руб.</t>
  </si>
  <si>
    <t>VLC-330057</t>
  </si>
  <si>
    <t>VTp.705.0.075032</t>
  </si>
  <si>
    <t>Муфта переходная PPR 75-32мм   (2 /36шт)</t>
  </si>
  <si>
    <t>236.00 руб.</t>
  </si>
  <si>
    <t>VLC-330058</t>
  </si>
  <si>
    <t>VTp.705.0.075040</t>
  </si>
  <si>
    <t>Муфта переходная PPR 75-40мм   (2 /36шт)</t>
  </si>
  <si>
    <t>VLC-330059</t>
  </si>
  <si>
    <t>VTp.705.0.075050</t>
  </si>
  <si>
    <t>Муфта переходная PPR 75-50мм  (5 /40шт)</t>
  </si>
  <si>
    <t>143.00 руб.</t>
  </si>
  <si>
    <t>VLC-330060</t>
  </si>
  <si>
    <t>VTp.705.0.075063</t>
  </si>
  <si>
    <t>Муфта переходная PPR 75-63мм  (2 /26шт)</t>
  </si>
  <si>
    <t>199.00 руб.</t>
  </si>
  <si>
    <t>VLC-330061</t>
  </si>
  <si>
    <t>VTp.705.0.090050</t>
  </si>
  <si>
    <t>Муфта переходная PPR 90-50мм   (2 /18шт)</t>
  </si>
  <si>
    <t>377.00 руб.</t>
  </si>
  <si>
    <t>VLC-330062</t>
  </si>
  <si>
    <t>VTp.705.0.090063</t>
  </si>
  <si>
    <t>Муфта переходная PPR 90-63мм   (2 /24шт)</t>
  </si>
  <si>
    <t>297.00 руб.</t>
  </si>
  <si>
    <t>VLC-330063</t>
  </si>
  <si>
    <t>VTp.705.0.090075</t>
  </si>
  <si>
    <t>Муфта переходная PPR 90-75мм   (2 /16шт)</t>
  </si>
  <si>
    <t>356.00 руб.</t>
  </si>
  <si>
    <t>VLC-330064</t>
  </si>
  <si>
    <t>VTp.706.0.03206</t>
  </si>
  <si>
    <t>Соединитель PPR под ключ с переходом на вн. р. 32х1"  (5 /75шт)</t>
  </si>
  <si>
    <t>449.00 руб.</t>
  </si>
  <si>
    <t>VLC-330065</t>
  </si>
  <si>
    <t>VTp.706.0.04006</t>
  </si>
  <si>
    <t>Соединитель PPR под ключ с переходом на вн. р. 40х1"   (5 /90шт)</t>
  </si>
  <si>
    <t>485.00 руб.</t>
  </si>
  <si>
    <t>VLC-330066</t>
  </si>
  <si>
    <t>VTp.706.0.04007</t>
  </si>
  <si>
    <t>Соединитель PPR под ключ с переходом на вн. р. 40х1 1/4"  (5 /70шт)</t>
  </si>
  <si>
    <t>796.00 руб.</t>
  </si>
  <si>
    <t>VLC-330067</t>
  </si>
  <si>
    <t>VTp.706.0.05008</t>
  </si>
  <si>
    <t>Соединитель PPR под ключ с переходом на вн. р. 50х1 1/2"  (5 /45шт)</t>
  </si>
  <si>
    <t>975.00 руб.</t>
  </si>
  <si>
    <t>VLC-330068</t>
  </si>
  <si>
    <t>VTp.706.0.06309</t>
  </si>
  <si>
    <t>Соединитель PPR под ключ с переходом на вн. р. 63х2"  (2 /24шт)</t>
  </si>
  <si>
    <t>1 640.00 руб.</t>
  </si>
  <si>
    <t>VLC-330069</t>
  </si>
  <si>
    <t>VTp.706.0.07510</t>
  </si>
  <si>
    <t>Соединитель PPR под ключ с переходом на вн. р. 75х2 1/2"   (1 /12шт)</t>
  </si>
  <si>
    <t>2 862.00 руб.</t>
  </si>
  <si>
    <t>VLC-330070</t>
  </si>
  <si>
    <t>VTp.706.0.09011</t>
  </si>
  <si>
    <t>Соединитель PPR под ключ с переходом на вн. р. 90х3"  (5 /10шт)</t>
  </si>
  <si>
    <t>4 554.00 руб.</t>
  </si>
  <si>
    <t>VLC-330071</t>
  </si>
  <si>
    <t>VTp.706.0.11012</t>
  </si>
  <si>
    <t>Соединитель полипропиленовый  под ключ с пер. на вн. р. 110х4"   (1 /10шт)</t>
  </si>
  <si>
    <t>4 948.00 руб.</t>
  </si>
  <si>
    <t>VLC-330072</t>
  </si>
  <si>
    <t>VTp.707.0.03206</t>
  </si>
  <si>
    <t>Соединитель PPR под ключ с переходом на нар. р. 32х1"  (5 /75шт)</t>
  </si>
  <si>
    <t>514.00 руб.</t>
  </si>
  <si>
    <t>VLC-330073</t>
  </si>
  <si>
    <t>VTp.707.0.04006</t>
  </si>
  <si>
    <t>Соединитель PPR под ключ с переходом на нар. р. 40х1"  (5 /80шт)</t>
  </si>
  <si>
    <t>607.00 руб.</t>
  </si>
  <si>
    <t>VLC-330074</t>
  </si>
  <si>
    <t>VTp.707.0.04007</t>
  </si>
  <si>
    <t>Соединитель PPR под ключ с переходом на нар. р. 40х1 1/4"  (5 /60шт)</t>
  </si>
  <si>
    <t>910.00 руб.</t>
  </si>
  <si>
    <t>VLC-330075</t>
  </si>
  <si>
    <t>VTp.707.0.05008</t>
  </si>
  <si>
    <t>Соединитель PPR под ключ с переходом на нар. р. 50х1 1/2"  (5 /40шт)</t>
  </si>
  <si>
    <t>1 202.00 руб.</t>
  </si>
  <si>
    <t>VLC-330076</t>
  </si>
  <si>
    <t>VTp.707.0.06309</t>
  </si>
  <si>
    <t>Соединитель PPR под ключ с переходом на нар. р. 63х2"  (2 /24шт)</t>
  </si>
  <si>
    <t>2 335.00 руб.</t>
  </si>
  <si>
    <t>VLC-330077</t>
  </si>
  <si>
    <t>VTp.707.0.07510</t>
  </si>
  <si>
    <t>Соединитель PPR под ключ с переходом на нар. р. 75х2 1/2"   (12шт)</t>
  </si>
  <si>
    <t>4 187.00 руб.</t>
  </si>
  <si>
    <t>VLC-330078</t>
  </si>
  <si>
    <t>VTp.707.0.09011</t>
  </si>
  <si>
    <t>Соединитель PPR под ключ с переходом на нар. р. 90х3"   (5шт)</t>
  </si>
  <si>
    <t>5 391.00 руб.</t>
  </si>
  <si>
    <t>VLC-330079</t>
  </si>
  <si>
    <t>VTp.707.0.11012</t>
  </si>
  <si>
    <t>Соединитель полипропиленовый  под ключ с пер. на нар. р. 110х4"   (6шт)</t>
  </si>
  <si>
    <t>5 959.00 руб.</t>
  </si>
  <si>
    <t>VLC-330080</t>
  </si>
  <si>
    <t>VTp.708.0.02004</t>
  </si>
  <si>
    <t>Соединитель PPR с накидной гайкой 20х1/2"  (10 /400шт)</t>
  </si>
  <si>
    <t>163.00 руб.</t>
  </si>
  <si>
    <t>VLC-330081</t>
  </si>
  <si>
    <t>VTp.708.0.02005</t>
  </si>
  <si>
    <t>Соединитель PPR с накидной гайкой 20х3/4"  (10 /330шт)</t>
  </si>
  <si>
    <t>207.00 руб.</t>
  </si>
  <si>
    <t>VLC-330082</t>
  </si>
  <si>
    <t>VTp.708.0.02505</t>
  </si>
  <si>
    <t>Соединитель PPR с накидной гайкой 25х3/4"  (10 /260шт)</t>
  </si>
  <si>
    <t>225.00 руб.</t>
  </si>
  <si>
    <t>VLC-330083</t>
  </si>
  <si>
    <t>VTp.708.0.02506</t>
  </si>
  <si>
    <t>Соединитель PPR с накидной гайкой 25х1"  (5 /100шт)</t>
  </si>
  <si>
    <t>395.00 руб.</t>
  </si>
  <si>
    <t>VLC-330084</t>
  </si>
  <si>
    <t>VTp.708.0.03206</t>
  </si>
  <si>
    <t>Соединитель PPR с накидной гайкой 32х1"   (5 /80шт)</t>
  </si>
  <si>
    <t>422.00 руб.</t>
  </si>
  <si>
    <t>VLC-330085</t>
  </si>
  <si>
    <t>VTp.708.E.02005</t>
  </si>
  <si>
    <t>Соединитель PPR с накидной гайкой 20 х 3/4 евроконус  (10 /170шт)</t>
  </si>
  <si>
    <t>299.00 руб.</t>
  </si>
  <si>
    <t>VLC-330086</t>
  </si>
  <si>
    <t>VTp.708.K.02004</t>
  </si>
  <si>
    <t>Соединитель PPR с накидной гайкой 20 х 1/2" конус  (10 /200шт)</t>
  </si>
  <si>
    <t>249.00 руб.</t>
  </si>
  <si>
    <t>VLC-330087</t>
  </si>
  <si>
    <t>VTp.710.0.02016</t>
  </si>
  <si>
    <t>-Соединитель PPR, для коллектора с переходом на РЕХ 20х16(2,0)   (10 /200шт)</t>
  </si>
  <si>
    <t>326.00 руб.</t>
  </si>
  <si>
    <t>VLC-330088</t>
  </si>
  <si>
    <t>VTp.712.0.020</t>
  </si>
  <si>
    <t>Вентиль PPR 20мм  (10 /50шт)</t>
  </si>
  <si>
    <t>418.00 руб.</t>
  </si>
  <si>
    <t>VLC-330089</t>
  </si>
  <si>
    <t>VTp.712.0.025</t>
  </si>
  <si>
    <t>Вентиль PPR 25мм  (10 /40шт)</t>
  </si>
  <si>
    <t>483.00 руб.</t>
  </si>
  <si>
    <t>VLC-330090</t>
  </si>
  <si>
    <t>VTp.712.0.032</t>
  </si>
  <si>
    <t>Вентиль PPR 32мм  (5 /30шт)</t>
  </si>
  <si>
    <t>581.00 руб.</t>
  </si>
  <si>
    <t>VLC-330091</t>
  </si>
  <si>
    <t>VTp.713.0.020</t>
  </si>
  <si>
    <t>Вентиль PPR хромированный 20мм  (5 /60шт)</t>
  </si>
  <si>
    <t>1 785.00 руб.</t>
  </si>
  <si>
    <t>VLC-330092</t>
  </si>
  <si>
    <t>VTp.713.0.025</t>
  </si>
  <si>
    <t>Вентиль PPR хромированный 25мм  (5 /50шт)</t>
  </si>
  <si>
    <t>943.00 руб.</t>
  </si>
  <si>
    <t>VLC-330093</t>
  </si>
  <si>
    <t>VTp.714.0.020</t>
  </si>
  <si>
    <t>Вентиль прямоточный 20 мм  (5 /100шт)</t>
  </si>
  <si>
    <t>VLC-330094</t>
  </si>
  <si>
    <t>VTp.714.0.025</t>
  </si>
  <si>
    <t>Вентиль прямоточный 25 мм   (5 /65шт)</t>
  </si>
  <si>
    <t>547.00 руб.</t>
  </si>
  <si>
    <t>VLC-330095</t>
  </si>
  <si>
    <t>VTp.714.0.032</t>
  </si>
  <si>
    <t>Вентиль прямоточный 32 мм   (5 /35шт)</t>
  </si>
  <si>
    <t>960.00 руб.</t>
  </si>
  <si>
    <t>VLC-330096</t>
  </si>
  <si>
    <t>VTp.716.0.020</t>
  </si>
  <si>
    <t>Клапан обратный PPR 20мм   (5 /180шт)</t>
  </si>
  <si>
    <t>VLC-330097</t>
  </si>
  <si>
    <t>VTp.716.0.025</t>
  </si>
  <si>
    <t>Клапан обратный PPR 25мм   (5 /90шт)</t>
  </si>
  <si>
    <t>331.00 руб.</t>
  </si>
  <si>
    <t>VLC-330098</t>
  </si>
  <si>
    <t>VTp.716.0.032</t>
  </si>
  <si>
    <t>Клапан обратный PPR 32мм  (5 /70шт)</t>
  </si>
  <si>
    <t>579.00 руб.</t>
  </si>
  <si>
    <t>VLC-330099</t>
  </si>
  <si>
    <t>VTp.717.0.02004</t>
  </si>
  <si>
    <t>Кран PPR для подключения радиатора прямой 20х1/2"   (5 /90шт)</t>
  </si>
  <si>
    <t>587.00 руб.</t>
  </si>
  <si>
    <t>VLC-330100</t>
  </si>
  <si>
    <t>VTp.717.0.02505</t>
  </si>
  <si>
    <t>Кран PPR для подключения радиатора прямой 25х3/4"   (5 /50шт)</t>
  </si>
  <si>
    <t>905.00 руб.</t>
  </si>
  <si>
    <t>VLC-330101</t>
  </si>
  <si>
    <t>VTp.718.0.02004</t>
  </si>
  <si>
    <t>Кран PPR для подключения радиатора угловой 20х1/2"  (5 /80шт)</t>
  </si>
  <si>
    <t>590.00 руб.</t>
  </si>
  <si>
    <t>VLC-330102</t>
  </si>
  <si>
    <t>VTp.718.0.02505</t>
  </si>
  <si>
    <t>Кран PPR для подключения радиатора угловой 25х3/4"  (5 /30шт)</t>
  </si>
  <si>
    <t>1 003.00 руб.</t>
  </si>
  <si>
    <t>VLC-330103</t>
  </si>
  <si>
    <t>VTp.717.V.02004</t>
  </si>
  <si>
    <t>Клапан PPR для подключения радиатора прямой 20х1/2"   (5 /80шт)</t>
  </si>
  <si>
    <t>628.00 руб.</t>
  </si>
  <si>
    <t>VLC-330104</t>
  </si>
  <si>
    <t>VTp.717.V.02505</t>
  </si>
  <si>
    <t>Клапан PPR для подключения радиатора прямой 25х3/4"   (5 /45шт)</t>
  </si>
  <si>
    <t>1 072.00 руб.</t>
  </si>
  <si>
    <t>VLC-330105</t>
  </si>
  <si>
    <t>VTp.718.V.02004</t>
  </si>
  <si>
    <t>Клапан PPR для подключения радиатора угловой 20х1/2"  (5 /100шт)</t>
  </si>
  <si>
    <t>613.00 руб.</t>
  </si>
  <si>
    <t>VLC-330106</t>
  </si>
  <si>
    <t>VTp.718.V.02505</t>
  </si>
  <si>
    <t>Клапан PPR для подключения радиатора угловой 25х3/4"  (5 /50шт)</t>
  </si>
  <si>
    <t>1 127.00 руб.</t>
  </si>
  <si>
    <t>VLC-330107</t>
  </si>
  <si>
    <t>VTp.721.0.02005</t>
  </si>
  <si>
    <t>Штуцер PPR с накидной гайкой нар.р. 20x3/4  (10 /240шт)</t>
  </si>
  <si>
    <t>178.00 руб.</t>
  </si>
  <si>
    <t>VLC-330108</t>
  </si>
  <si>
    <t>VTp.721.0.02506</t>
  </si>
  <si>
    <t>Штуцер PPR с накидной гайкой нар.р. 25x1  (10 /150шт)</t>
  </si>
  <si>
    <t>219.00 руб.</t>
  </si>
  <si>
    <t>VLC-330109</t>
  </si>
  <si>
    <t>VTp.721.0.03207</t>
  </si>
  <si>
    <t>Штуцер PPR с накидной гайкой нар.р. 32x 1 1/4   (5 /100шт)</t>
  </si>
  <si>
    <t>536.00 руб.</t>
  </si>
  <si>
    <t>VLC-330110</t>
  </si>
  <si>
    <t>VTp.722.0.02005</t>
  </si>
  <si>
    <t>Штуцер PPR с накидной гайкой вн. р. 20х3/4"  (10 /200шт)</t>
  </si>
  <si>
    <t>169.00 руб.</t>
  </si>
  <si>
    <t>VLC-330111</t>
  </si>
  <si>
    <t>VTp.722.0.02506</t>
  </si>
  <si>
    <t>Штуцер PPR с накидной гайкой вн. р.  25х1"  (10 /100шт)</t>
  </si>
  <si>
    <t>270.00 руб.</t>
  </si>
  <si>
    <t>VLC-330112</t>
  </si>
  <si>
    <t>VTp.722.0.03207</t>
  </si>
  <si>
    <t>Штуцер PPR с накидной гайкой вн. резьба  32х1 1/4"  (5 /50шт)</t>
  </si>
  <si>
    <t>488.00 руб.</t>
  </si>
  <si>
    <t>VLC-330113</t>
  </si>
  <si>
    <t>VTp.724.0.02004</t>
  </si>
  <si>
    <t>Планка с водорозетками PPR 20х1/2"  (5 /55шт)</t>
  </si>
  <si>
    <t>361.00 руб.</t>
  </si>
  <si>
    <t>VLC-330114</t>
  </si>
  <si>
    <t>VTp.724.0.02504</t>
  </si>
  <si>
    <t>Планка с водорозетками PPR 25х1/2"  (5 /40шт)</t>
  </si>
  <si>
    <t>394.00 руб.</t>
  </si>
  <si>
    <t>VLC-330115</t>
  </si>
  <si>
    <t>VTp.730.P.4000</t>
  </si>
  <si>
    <t>Крепление для коллекторов PPR  (2 /20шт)</t>
  </si>
  <si>
    <t>VLC-330116</t>
  </si>
  <si>
    <t>VTp.731.0.020</t>
  </si>
  <si>
    <t>Тройник PPR 20мм  (10 /280шт)</t>
  </si>
  <si>
    <t>VLC-330117</t>
  </si>
  <si>
    <t>VTp.731.0.025</t>
  </si>
  <si>
    <t>Тройник PPR 25мм  (10 /180шт)</t>
  </si>
  <si>
    <t>VLC-330118</t>
  </si>
  <si>
    <t>VTp.731.0.032</t>
  </si>
  <si>
    <t>Тройник PPR 32мм  (5 /120шт)</t>
  </si>
  <si>
    <t>47.00 руб.</t>
  </si>
  <si>
    <t>VLC-330119</t>
  </si>
  <si>
    <t>VTp.731.0.040</t>
  </si>
  <si>
    <t>Тройник PPR 40мм   (5 /55шт)</t>
  </si>
  <si>
    <t>89.00 руб.</t>
  </si>
  <si>
    <t>VLC-330120</t>
  </si>
  <si>
    <t>VTp.731.0.050</t>
  </si>
  <si>
    <t>Тройник PPR 50мм   (5 /30шт)</t>
  </si>
  <si>
    <t>VLC-330121</t>
  </si>
  <si>
    <t>VTp.731.0.063</t>
  </si>
  <si>
    <t>Тройник PPR 63мм  (2 /16шт)</t>
  </si>
  <si>
    <t>319.00 руб.</t>
  </si>
  <si>
    <t>VLC-330122</t>
  </si>
  <si>
    <t>VTp.731.0.075</t>
  </si>
  <si>
    <t>Тройник PPR 75мм   (1 /11шт)</t>
  </si>
  <si>
    <t>557.00 руб.</t>
  </si>
  <si>
    <t>VLC-330123</t>
  </si>
  <si>
    <t>VTp.731.0.090</t>
  </si>
  <si>
    <t>Тройник PPR 90мм   (1 /5шт)</t>
  </si>
  <si>
    <t>1 035.00 руб.</t>
  </si>
  <si>
    <t>VLC-330124</t>
  </si>
  <si>
    <t>VTp.732.0.02004</t>
  </si>
  <si>
    <t>Тройник PPR с переходом на вн. р. 20х1/2"  (10 /180шт)</t>
  </si>
  <si>
    <t>157.00 руб.</t>
  </si>
  <si>
    <t>VLC-330125</t>
  </si>
  <si>
    <t>VTp.732.0.02005</t>
  </si>
  <si>
    <t>Тройник PPR с переходом на вн. р. 20х3/4"  (10 /150шт)</t>
  </si>
  <si>
    <t>194.00 руб.</t>
  </si>
  <si>
    <t>VLC-330126</t>
  </si>
  <si>
    <t>VTp.732.0.02504</t>
  </si>
  <si>
    <t>Тройник PPR с переходом на вн. р. 25х1/2"  (10 /160шт)</t>
  </si>
  <si>
    <t>179.00 руб.</t>
  </si>
  <si>
    <t>VLC-330127</t>
  </si>
  <si>
    <t>VTp.732.0.02505</t>
  </si>
  <si>
    <t>Тройник PPR с переходом на вн. р. 25х3/4"  (10 /150шт)</t>
  </si>
  <si>
    <t>214.00 руб.</t>
  </si>
  <si>
    <t>VLC-330128</t>
  </si>
  <si>
    <t>VTp.732.0.03204</t>
  </si>
  <si>
    <t>Тройник PPR с переходом на вн. р. 32х1/2"   (5 /100шт)</t>
  </si>
  <si>
    <t>285.00 руб.</t>
  </si>
  <si>
    <t>VLC-330129</t>
  </si>
  <si>
    <t>VTp.732.0.03205</t>
  </si>
  <si>
    <t>Тройник PPR с переходом на вн. р. 32х3/4"  (5 /75шт)</t>
  </si>
  <si>
    <t>308.00 руб.</t>
  </si>
  <si>
    <t>VLC-330130</t>
  </si>
  <si>
    <t>VTp.732.0.03206</t>
  </si>
  <si>
    <t>Тройник PPR с переходом на вн. р. 32х1"   (5 /80шт)</t>
  </si>
  <si>
    <t>382.00 руб.</t>
  </si>
  <si>
    <t>VLC-330131</t>
  </si>
  <si>
    <t>VTp.733.0.02004</t>
  </si>
  <si>
    <t>Тройник PPR с переходом на нар. р. 20х1/2"  (10 /180шт)</t>
  </si>
  <si>
    <t>196.00 руб.</t>
  </si>
  <si>
    <t>VLC-330132</t>
  </si>
  <si>
    <t>VTp.733.0.02005</t>
  </si>
  <si>
    <t>Тройник PPR с переходом на нар. р. 20х3/4"  (10 /90шт)</t>
  </si>
  <si>
    <t>VLC-330133</t>
  </si>
  <si>
    <t>VTp.733.0.02504</t>
  </si>
  <si>
    <t>Тройник PPR с переходом на нар. р. 25х1/2"  (10 /90шт)</t>
  </si>
  <si>
    <t>248.00 руб.</t>
  </si>
  <si>
    <t>VLC-330134</t>
  </si>
  <si>
    <t>VTp.733.0.02505</t>
  </si>
  <si>
    <t>Тройник PPR с переходом на нар. р. 25х3/4"   (10 /90шт)</t>
  </si>
  <si>
    <t>307.00 руб.</t>
  </si>
  <si>
    <t>VLC-330135</t>
  </si>
  <si>
    <t>VTp.733.0.03204</t>
  </si>
  <si>
    <t>Тройник PPR с переходом на нар. р. 32х1/2"  (5 /90шт)</t>
  </si>
  <si>
    <t>330.00 руб.</t>
  </si>
  <si>
    <t>VLC-330136</t>
  </si>
  <si>
    <t>VTp.733.0.03205</t>
  </si>
  <si>
    <t>Тройник PPR с переходом на нар. р. 32х3/4"   (5 /80шт)</t>
  </si>
  <si>
    <t>365.00 руб.</t>
  </si>
  <si>
    <t>VLC-330137</t>
  </si>
  <si>
    <t>VTp.733.0.03206</t>
  </si>
  <si>
    <t>Тройник PPR с переходом на нар. р. 32х1"  (5 /45шт)</t>
  </si>
  <si>
    <t>454.00 руб.</t>
  </si>
  <si>
    <t>VLC-330138</t>
  </si>
  <si>
    <t>VTp.734.0.04004</t>
  </si>
  <si>
    <t>Тройник PPR для подключения коллекторных соединителей  40 х ½ нар.р.   (5 /80шт)</t>
  </si>
  <si>
    <t>289.00 руб.</t>
  </si>
  <si>
    <t>VLC-330139</t>
  </si>
  <si>
    <t>VTp.734.0.04005</t>
  </si>
  <si>
    <t>Тройник PPR для подключения коллекторных соединителей  40 х 3/4 нар.р.  (5 /80шт)</t>
  </si>
  <si>
    <t>VLC-330140</t>
  </si>
  <si>
    <t>VTp.735.0.025020020</t>
  </si>
  <si>
    <t>Тройник переходной PPR 25-20-20мм  (10 /200шт)</t>
  </si>
  <si>
    <t>33.00 руб.</t>
  </si>
  <si>
    <t>VLC-330141</t>
  </si>
  <si>
    <t>VTp.735.0.025020025</t>
  </si>
  <si>
    <t>Тройник переходной PPR 25-20-25мм (10 /200шт)</t>
  </si>
  <si>
    <t>29.00 руб.</t>
  </si>
  <si>
    <t>VLC-330142</t>
  </si>
  <si>
    <t>VTp.735.0.032020020</t>
  </si>
  <si>
    <t>Тройник переходной PPR 32-20-20мм  (5 /150шт)</t>
  </si>
  <si>
    <t>VLC-330143</t>
  </si>
  <si>
    <t>VTp.735.0.032020025</t>
  </si>
  <si>
    <t>Тройник переходной PPR 32-20-25мм  (5 /135шт)</t>
  </si>
  <si>
    <t>VLC-330144</t>
  </si>
  <si>
    <t>VTp.735.0.032020032</t>
  </si>
  <si>
    <t>Тройник переходной PPR 32-20-32мм  (5 /140шт)</t>
  </si>
  <si>
    <t>48.00 руб.</t>
  </si>
  <si>
    <t>VLC-330145</t>
  </si>
  <si>
    <t>VTp.735.0.032025020</t>
  </si>
  <si>
    <t>Тройник переходной PPR 32-25-20мм  (5 /140шт)</t>
  </si>
  <si>
    <t>55.00 руб.</t>
  </si>
  <si>
    <t>VLC-330146</t>
  </si>
  <si>
    <t>VTp.735.0.032025025</t>
  </si>
  <si>
    <t>Тройник переходной PPR 32-25-25мм  (5 /100шт)</t>
  </si>
  <si>
    <t>VLC-330147</t>
  </si>
  <si>
    <t>VTp.735.0.032025032</t>
  </si>
  <si>
    <t>Тройник переходной PPR 32-25-32мм  (5 /120шт)</t>
  </si>
  <si>
    <t>VLC-330148</t>
  </si>
  <si>
    <t>VTp.735.0.040020040</t>
  </si>
  <si>
    <t>Тройник переходной PPR 40-20-40мм   (5 /80шт)</t>
  </si>
  <si>
    <t>VLC-330149</t>
  </si>
  <si>
    <t>VTp.735.0.040025040</t>
  </si>
  <si>
    <t>Тройник переходной PPR 40-25-40мм  (5 /60шт)</t>
  </si>
  <si>
    <t>90.00 руб.</t>
  </si>
  <si>
    <t>VLC-330150</t>
  </si>
  <si>
    <t>VTp.735.0.040032040</t>
  </si>
  <si>
    <t>Тройник переходной PPR 40-32-40мм  (5 /60шт)</t>
  </si>
  <si>
    <t>105.00 руб.</t>
  </si>
  <si>
    <t>VLC-330151</t>
  </si>
  <si>
    <t>VTp.735.0.050020050</t>
  </si>
  <si>
    <t>Тройник переходной PPR 50-20-50мм   (5 /30шт)</t>
  </si>
  <si>
    <t>132.00 руб.</t>
  </si>
  <si>
    <t>VLC-330152</t>
  </si>
  <si>
    <t>VTp.735.0.050025050</t>
  </si>
  <si>
    <t>Тройник переходной PPR 50-25-50мм  (5 /25шт)</t>
  </si>
  <si>
    <t>150.00 руб.</t>
  </si>
  <si>
    <t>VLC-330153</t>
  </si>
  <si>
    <t>VTp.735.0.050032050</t>
  </si>
  <si>
    <t>Тройник переходной PPR 50-32-50мм  (5 /25шт)</t>
  </si>
  <si>
    <t>174.00 руб.</t>
  </si>
  <si>
    <t>VLC-330154</t>
  </si>
  <si>
    <t>VTp.735.0.050040050</t>
  </si>
  <si>
    <t>Тройник переходной PPR 50-40-50мм   (5 /25шт)</t>
  </si>
  <si>
    <t>VLC-330155</t>
  </si>
  <si>
    <t>VTp.735.0.063020063</t>
  </si>
  <si>
    <t>Тройник переходной PPR 63-20-63мм  (2 /24шт)</t>
  </si>
  <si>
    <t>258.00 руб.</t>
  </si>
  <si>
    <t>VLC-330156</t>
  </si>
  <si>
    <t>VTp.735.0.063025063</t>
  </si>
  <si>
    <t>Тройник переходной PPR 63-25-63мм (2 /24шт)</t>
  </si>
  <si>
    <t>276.00 руб.</t>
  </si>
  <si>
    <t>VLC-330157</t>
  </si>
  <si>
    <t>VTp.735.0.063032063</t>
  </si>
  <si>
    <t>Тройник переходной PPR 63-32-63мм  (2 /24шт)</t>
  </si>
  <si>
    <t>VLC-330158</t>
  </si>
  <si>
    <t>VTp.735.0.063040063</t>
  </si>
  <si>
    <t>Тройник переходной PPR 63-40-63мм (2 /24шт)</t>
  </si>
  <si>
    <t>271.00 руб.</t>
  </si>
  <si>
    <t>VLC-330159</t>
  </si>
  <si>
    <t>VTp.735.0.063050063</t>
  </si>
  <si>
    <t>Тройник переходной PPR 63-50-63мм  (2 /18шт)</t>
  </si>
  <si>
    <t>369.00 руб.</t>
  </si>
  <si>
    <t>VLC-330160</t>
  </si>
  <si>
    <t>VTp.735.0.075040075</t>
  </si>
  <si>
    <t>Тройник переходной PPR 75-40-75мм  (2 /14шт)</t>
  </si>
  <si>
    <t>503.00 руб.</t>
  </si>
  <si>
    <t>VLC-330161</t>
  </si>
  <si>
    <t>VTp.735.0.075050075</t>
  </si>
  <si>
    <t>Тройник переходной PPR 75-50-75мм  (2 /12шт)</t>
  </si>
  <si>
    <t>564.00 руб.</t>
  </si>
  <si>
    <t>VLC-330162</t>
  </si>
  <si>
    <t>VTp.735.0.075063075</t>
  </si>
  <si>
    <t>Тройник переходной PPR 75-63-75мм  (2 /10шт)</t>
  </si>
  <si>
    <t>665.00 руб.</t>
  </si>
  <si>
    <t>VLC-330163</t>
  </si>
  <si>
    <t>VTp.738.0.020</t>
  </si>
  <si>
    <t>Тройник PPR двухплоскостной 20мм (10 /280шт)</t>
  </si>
  <si>
    <t>26.00 руб.</t>
  </si>
  <si>
    <t>VLC-330164</t>
  </si>
  <si>
    <t>VTp.738.0.025</t>
  </si>
  <si>
    <t>Тройник PPR двухплоскостной 25мм (10 /160шт)</t>
  </si>
  <si>
    <t>39.00 руб.</t>
  </si>
  <si>
    <t>VLC-330165</t>
  </si>
  <si>
    <t>VTp.738.0.032</t>
  </si>
  <si>
    <t>Тройник PPR двухплоскостной 32мм  (5 /90шт)</t>
  </si>
  <si>
    <t>VLC-330166</t>
  </si>
  <si>
    <t>VTp.741.0.020</t>
  </si>
  <si>
    <t>Крестовина PPR 20мм (10 /200шт)</t>
  </si>
  <si>
    <t>VLC-330167</t>
  </si>
  <si>
    <t>VTp.741.0.025</t>
  </si>
  <si>
    <t>Крестовина PPR 25мм (10 /160шт)</t>
  </si>
  <si>
    <t>VLC-330168</t>
  </si>
  <si>
    <t>VTp.741.0.032</t>
  </si>
  <si>
    <t>Крестовина PPR 32мм  (5 /75шт)</t>
  </si>
  <si>
    <t>VLC-330169</t>
  </si>
  <si>
    <t>VTp.741.0.040</t>
  </si>
  <si>
    <t>Крестовина PPR 40мм  (5 /45шт)</t>
  </si>
  <si>
    <t>153.00 руб.</t>
  </si>
  <si>
    <t>VLC-330170</t>
  </si>
  <si>
    <t>VTp.741.0.050</t>
  </si>
  <si>
    <t>Крестовина PPR 50мм  (5 /20шт)</t>
  </si>
  <si>
    <t>259.00 руб.</t>
  </si>
  <si>
    <t>VLC-330171</t>
  </si>
  <si>
    <t>VTp.742.0.02004</t>
  </si>
  <si>
    <t>Кран латунный под PPR 20х1/2 вн. р. (с полусгоном) (10 /120шт)</t>
  </si>
  <si>
    <t>723.00 руб.</t>
  </si>
  <si>
    <t>VLC-330172</t>
  </si>
  <si>
    <t>VTp.742.0.02505</t>
  </si>
  <si>
    <t>Кран латунный под PPR 25х3/4 вн. р. (с полусгоном) (6 /72шт)</t>
  </si>
  <si>
    <t>1 192.00 руб.</t>
  </si>
  <si>
    <t>VLC-330173</t>
  </si>
  <si>
    <t>VTp.742.0.03206</t>
  </si>
  <si>
    <t>Кран латунный под PPR 32х1 вн. р. (с полусгоном) (6 /54шт)</t>
  </si>
  <si>
    <t>1 771.00 руб.</t>
  </si>
  <si>
    <t>VLC-330174</t>
  </si>
  <si>
    <t>VTp.742.0.04007</t>
  </si>
  <si>
    <t>Кран латунный под PPR 40х1 1/4 вн. р. (с полусгоном)   (4 /32шт)</t>
  </si>
  <si>
    <t>2 362.00 руб.</t>
  </si>
  <si>
    <t>VLC-330175</t>
  </si>
  <si>
    <t>VTp.743.0.020</t>
  </si>
  <si>
    <t>Кран PPR гор.вода 20мм   (5 /120шт)</t>
  </si>
  <si>
    <t>311.00 руб.</t>
  </si>
  <si>
    <t>VLC-330176</t>
  </si>
  <si>
    <t>VTp.743.0.025</t>
  </si>
  <si>
    <t>Кран PPR гор.вода 25мм  (5 /75шт)</t>
  </si>
  <si>
    <t>516.00 руб.</t>
  </si>
  <si>
    <t>VLC-330177</t>
  </si>
  <si>
    <t>VTp.743.0.032</t>
  </si>
  <si>
    <t>Кран PPR гор.вода 32мм  (5 /50шт)</t>
  </si>
  <si>
    <t>776.00 руб.</t>
  </si>
  <si>
    <t>VLC-330178</t>
  </si>
  <si>
    <t>VTp.743.0.040</t>
  </si>
  <si>
    <t>Кран PPR гор.вода 40мм   (1 /20шт)</t>
  </si>
  <si>
    <t>860.00 руб.</t>
  </si>
  <si>
    <t>VLC-330179</t>
  </si>
  <si>
    <t>VTp.743.0.050</t>
  </si>
  <si>
    <t>Кран PPR гор.вода 50мм  (1 /15шт)</t>
  </si>
  <si>
    <t>2 179.00 руб.</t>
  </si>
  <si>
    <t>VLC-330180</t>
  </si>
  <si>
    <t>VTp.743.0.063</t>
  </si>
  <si>
    <t>Кран PPR гор.вода 63мм    (1 /10шт)</t>
  </si>
  <si>
    <t>3 666.00 руб.</t>
  </si>
  <si>
    <t>VLC-330181</t>
  </si>
  <si>
    <t>VTp.744.0.020</t>
  </si>
  <si>
    <t>Кран PPR с латунной обоймой, 20мм  (5 /120шт)</t>
  </si>
  <si>
    <t>477.00 руб.</t>
  </si>
  <si>
    <t>VLC-330182</t>
  </si>
  <si>
    <t>VTp.744.0.025</t>
  </si>
  <si>
    <t>Кран PPR с латунной обоймой, 25мм  (5 /80шт)</t>
  </si>
  <si>
    <t>775.00 руб.</t>
  </si>
  <si>
    <t>VLC-330183</t>
  </si>
  <si>
    <t>VTp.744.0.032</t>
  </si>
  <si>
    <t>Кран PPR с латунной обоймой, 32мм  (4 /32шт)</t>
  </si>
  <si>
    <t>1 073.00 руб.</t>
  </si>
  <si>
    <t>VLC-330184</t>
  </si>
  <si>
    <t>VTp.745.0.020</t>
  </si>
  <si>
    <t>Кран латунный с PPR муфтами, 20мм  (10 /90шт)</t>
  </si>
  <si>
    <t>778.00 руб.</t>
  </si>
  <si>
    <t>VLC-330185</t>
  </si>
  <si>
    <t>VTp.745.0.025</t>
  </si>
  <si>
    <t>Кран латунный с PPR муфтами, 25мм  (5 /60шт)</t>
  </si>
  <si>
    <t>1 173.00 руб.</t>
  </si>
  <si>
    <t>VLC-330186</t>
  </si>
  <si>
    <t>VTp.745.0.032</t>
  </si>
  <si>
    <t>Кран латунный с PPR муфтами, 32мм   (4 /36шт)</t>
  </si>
  <si>
    <t>1 866.00 руб.</t>
  </si>
  <si>
    <t>VLC-330187</t>
  </si>
  <si>
    <t>VTp.751.0.020</t>
  </si>
  <si>
    <t>Угольник 90 PPR 20мм  (10 /300шт)</t>
  </si>
  <si>
    <t>VLC-330188</t>
  </si>
  <si>
    <t>VTp.751.0.025</t>
  </si>
  <si>
    <t>Угольник 90 PPR 25мм (10 /240шт)</t>
  </si>
  <si>
    <t>22.00 руб.</t>
  </si>
  <si>
    <t>VLC-330189</t>
  </si>
  <si>
    <t>VTp.751.0.032</t>
  </si>
  <si>
    <t>Угольник 90 PPR 32мм  (5 /120шт)</t>
  </si>
  <si>
    <t>38.00 руб.</t>
  </si>
  <si>
    <t>VLC-330190</t>
  </si>
  <si>
    <t>VTp.751.0.040</t>
  </si>
  <si>
    <t>Угольник 90 PPR 40мм  (5 /60шт)</t>
  </si>
  <si>
    <t>74.00 руб.</t>
  </si>
  <si>
    <t>VLC-330191</t>
  </si>
  <si>
    <t>VTp.751.0.050</t>
  </si>
  <si>
    <t>Угольник 90 PPR 50мм  (5 /40шт)</t>
  </si>
  <si>
    <t>126.00 руб.</t>
  </si>
  <si>
    <t>VLC-330192</t>
  </si>
  <si>
    <t>VTp.751.0.063</t>
  </si>
  <si>
    <t>Угольник 90 PPR 63мм (2 /18шт)</t>
  </si>
  <si>
    <t>306.00 руб.</t>
  </si>
  <si>
    <t>VLC-330193</t>
  </si>
  <si>
    <t>VTp.751.0.075</t>
  </si>
  <si>
    <t>Угольник 90 PPR 75мм    (1 /12шт)</t>
  </si>
  <si>
    <t>VLC-330194</t>
  </si>
  <si>
    <t>VTp.751.0.090</t>
  </si>
  <si>
    <t>Угольник 90 PPR 90мм   (1 /5шт)</t>
  </si>
  <si>
    <t>1 114.00 руб.</t>
  </si>
  <si>
    <t>VLC-330195</t>
  </si>
  <si>
    <t>VTp.752.0.02004</t>
  </si>
  <si>
    <t>Угольник PPR с переходом на вн. р. 20х1/2" (10 /300шт)</t>
  </si>
  <si>
    <t>VLC-330196</t>
  </si>
  <si>
    <t>VTp.752.0.02005</t>
  </si>
  <si>
    <t>Угольник PPR с переходом на вн. р. 20х3/4" (10 /200шт)</t>
  </si>
  <si>
    <t>184.00 руб.</t>
  </si>
  <si>
    <t>VLC-330197</t>
  </si>
  <si>
    <t>VTp.752.0.02504</t>
  </si>
  <si>
    <t>Угольник PPR с переходом на вн. р. 25х1/2" (10 /200шт)</t>
  </si>
  <si>
    <t>149.00 руб.</t>
  </si>
  <si>
    <t>VLC-330198</t>
  </si>
  <si>
    <t>VTp.752.0.02505</t>
  </si>
  <si>
    <t>Угольник PPR с переходом на вн. р. 25х3/4" (10 /200шт)</t>
  </si>
  <si>
    <t>VLC-330199</t>
  </si>
  <si>
    <t>VTp.752.0.03205</t>
  </si>
  <si>
    <t>Угольник PPR с переходом на вн. р. 32х3/4"   (5 /80шт)</t>
  </si>
  <si>
    <t>296.00 руб.</t>
  </si>
  <si>
    <t>VLC-330200</t>
  </si>
  <si>
    <t>VTp.752.0.03206</t>
  </si>
  <si>
    <t>Угольник PPR с переходом на вн. р. 32х1"  (5 /110шт)</t>
  </si>
  <si>
    <t>363.00 руб.</t>
  </si>
  <si>
    <t>VLC-330201</t>
  </si>
  <si>
    <t>VTp.753.0.02004</t>
  </si>
  <si>
    <t>Угольник PPR с переходом на нар. р. 20х1/2" (10 /260шт)</t>
  </si>
  <si>
    <t>VLC-330202</t>
  </si>
  <si>
    <t>VTp.753.0.02005</t>
  </si>
  <si>
    <t>Угольник PPR с переходом на нар. р. 20х3/4" (10 /190шт)</t>
  </si>
  <si>
    <t>251.00 руб.</t>
  </si>
  <si>
    <t>VLC-330203</t>
  </si>
  <si>
    <t>VTp.753.0.02504</t>
  </si>
  <si>
    <t>Угольник PPR с переходом на нар. р. 25х1/2" (10 /200шт)</t>
  </si>
  <si>
    <t>205.00 руб.</t>
  </si>
  <si>
    <t>VLC-330204</t>
  </si>
  <si>
    <t>VTp.753.0.02505</t>
  </si>
  <si>
    <t>Угольник PPR с переходом на нар. р. 25х3/4" (10 /160шт)</t>
  </si>
  <si>
    <t>VLC-330205</t>
  </si>
  <si>
    <t>VTp.753.0.03205</t>
  </si>
  <si>
    <t>Угольник PPR с переходом на нар. р. 32х3/4"   (5 /70шт)</t>
  </si>
  <si>
    <t>351.00 руб.</t>
  </si>
  <si>
    <t>VLC-330206</t>
  </si>
  <si>
    <t>VTp.753.0.03206</t>
  </si>
  <si>
    <t>Угольник PPR с переходом на нар. р. 32х1" (5 /100шт)</t>
  </si>
  <si>
    <t>441.00 руб.</t>
  </si>
  <si>
    <t>VLC-330207</t>
  </si>
  <si>
    <t>VTp.754.0.02004</t>
  </si>
  <si>
    <t>Водорозетка PPR 20х1/2"вн.  (10 /200шт)</t>
  </si>
  <si>
    <t>VLC-330208</t>
  </si>
  <si>
    <t>VTp.754.0.02504</t>
  </si>
  <si>
    <t>Водорозетка PPR 25х1/2"вн.  (10 /160шт)</t>
  </si>
  <si>
    <t>190.00 руб.</t>
  </si>
  <si>
    <t>VLC-330209</t>
  </si>
  <si>
    <t>VTp.755.0.02004</t>
  </si>
  <si>
    <t>Водорозетка PPR 20х1/2"нар.  (10 /190шт)</t>
  </si>
  <si>
    <t>VLC-330210</t>
  </si>
  <si>
    <t>VTp.755.0.02504</t>
  </si>
  <si>
    <t>Водорозетка PPR 25х1/2"нар.  (10 /160шт)</t>
  </si>
  <si>
    <t>242.00 руб.</t>
  </si>
  <si>
    <t>VLC-330211</t>
  </si>
  <si>
    <t>VTp.758.0.02004</t>
  </si>
  <si>
    <t>Угольник PPR с накидной гайкой 20х1/2"   (10 /360шт)</t>
  </si>
  <si>
    <t>VLC-330212</t>
  </si>
  <si>
    <t>VTp.758.0.02005</t>
  </si>
  <si>
    <t>Угольник PPR с накидной гайкой 20х3/4"  (10 /150шт)</t>
  </si>
  <si>
    <t>265.00 руб.</t>
  </si>
  <si>
    <t>VLC-330213</t>
  </si>
  <si>
    <t>VTp.758.0.02505</t>
  </si>
  <si>
    <t>Угольник PPR с накидной гайкой 25х3/4" (10 /200шт)</t>
  </si>
  <si>
    <t>255.00 руб.</t>
  </si>
  <si>
    <t>VLC-330214</t>
  </si>
  <si>
    <t>VTp.758.0.02506</t>
  </si>
  <si>
    <t>Угольник PPR с накидной гайкой 25х1" (5 /75шт)</t>
  </si>
  <si>
    <t>448.00 руб.</t>
  </si>
  <si>
    <t>VLC-330215</t>
  </si>
  <si>
    <t>VTp.759.0.020</t>
  </si>
  <si>
    <t>Угольник 45 PPR 20мм  (10 /420шт)</t>
  </si>
  <si>
    <t>VLC-330216</t>
  </si>
  <si>
    <t>VTp.759.0.025</t>
  </si>
  <si>
    <t>Угольник 45 PPR 25мм   (10 /320шт)</t>
  </si>
  <si>
    <t>VLC-330217</t>
  </si>
  <si>
    <t>VTp.759.0.032</t>
  </si>
  <si>
    <t>Угольник 45 PPR 32мм (5 /160шт)</t>
  </si>
  <si>
    <t>34.00 руб.</t>
  </si>
  <si>
    <t>VLC-330218</t>
  </si>
  <si>
    <t>VTp.759.0.040</t>
  </si>
  <si>
    <t>Угольник 45 PPR 40мм (5 /80шт)</t>
  </si>
  <si>
    <t>VLC-330219</t>
  </si>
  <si>
    <t>VTp.759.0.050</t>
  </si>
  <si>
    <t>Угольник 45 PPR 50мм (5 /30шт)</t>
  </si>
  <si>
    <t>138.00 руб.</t>
  </si>
  <si>
    <t>VLC-330220</t>
  </si>
  <si>
    <t>VTp.759.0.063</t>
  </si>
  <si>
    <t>Угольник 45 PPR 63мм  (2 /24шт)</t>
  </si>
  <si>
    <t>250.00 руб.</t>
  </si>
  <si>
    <t>VLC-330221</t>
  </si>
  <si>
    <t>VTp.761.0.02004</t>
  </si>
  <si>
    <t>Соединитель PPR разъемный с переходом на нар. р. 20х1/2"  (10 /180шт)</t>
  </si>
  <si>
    <t>279.00 руб.</t>
  </si>
  <si>
    <t>VLC-330222</t>
  </si>
  <si>
    <t>VTp.761.0.02005</t>
  </si>
  <si>
    <t>Соединитель PPR разъемный с переходом на нар. р. 20х3/4" (10 /100шт)</t>
  </si>
  <si>
    <t>348.00 руб.</t>
  </si>
  <si>
    <t>VLC-330223</t>
  </si>
  <si>
    <t>VTp.761.0.02006</t>
  </si>
  <si>
    <t>Соединитель PPR разъемный с переходом на нар. р. 20х1"  (10 /130шт)</t>
  </si>
  <si>
    <t>VLC-330224</t>
  </si>
  <si>
    <t>VTp.761.0.02505</t>
  </si>
  <si>
    <t>Соединитель PPR разъемный с переходом на нар. р. 25х3/4"  (10 /100шт)</t>
  </si>
  <si>
    <t>VLC-330225</t>
  </si>
  <si>
    <t>VTp.761.0.02506</t>
  </si>
  <si>
    <t>Соединитель PPR разъемный с переходом на нар. р. 25х1"  (10 /100шт)</t>
  </si>
  <si>
    <t>566.00 руб.</t>
  </si>
  <si>
    <t>VLC-330226</t>
  </si>
  <si>
    <t>VTp.761.0.03206</t>
  </si>
  <si>
    <t>Соединитель PPR разъемный с переходом на нар. р. 32х1"  (5 /60шт)</t>
  </si>
  <si>
    <t>705.00 руб.</t>
  </si>
  <si>
    <t>VLC-330227</t>
  </si>
  <si>
    <t>VTp.761.0.04007</t>
  </si>
  <si>
    <t>Соединитель PPR разъемный с переходом на нар. р. 40х1 1/4" (5 /35шт)</t>
  </si>
  <si>
    <t>1 196.00 руб.</t>
  </si>
  <si>
    <t>VLC-330228</t>
  </si>
  <si>
    <t>VTp.761.0.05008</t>
  </si>
  <si>
    <t>Соединитель PPR разъемный с переходом на нар. р. 50х1 1/2" (5 /20шт)</t>
  </si>
  <si>
    <t>2 012.00 руб.</t>
  </si>
  <si>
    <t>VLC-330229</t>
  </si>
  <si>
    <t>VTp.761.0.06309</t>
  </si>
  <si>
    <t>Соединитель PPR разъемный с переходом на нар. р. 63х2" (1 /10шт)</t>
  </si>
  <si>
    <t>5 280.00 руб.</t>
  </si>
  <si>
    <t>VLC-330230</t>
  </si>
  <si>
    <t>VTp.762.0.02004</t>
  </si>
  <si>
    <t>Соединитель PPR разъемный с переходом на вн. р. 20х1/2"  (10 /200шт)</t>
  </si>
  <si>
    <t>290.00 руб.</t>
  </si>
  <si>
    <t>VLC-330231</t>
  </si>
  <si>
    <t>VTp.762.0.02005</t>
  </si>
  <si>
    <t>Соединитель PPR разъемный с переходом на вн. р. 20х3/4"  (10 /100шт)</t>
  </si>
  <si>
    <t>374.00 руб.</t>
  </si>
  <si>
    <t>VLC-330232</t>
  </si>
  <si>
    <t>VTp.762.0.02006</t>
  </si>
  <si>
    <t>Соединитель PPR разъемный с переходом на вн. р. 20х1"  (10 /130шт)</t>
  </si>
  <si>
    <t>412.00 руб.</t>
  </si>
  <si>
    <t>VLC-330233</t>
  </si>
  <si>
    <t>VTp.762.0.02505</t>
  </si>
  <si>
    <t>Соединитель PPR разъемный с переходом на вн. р. 25х3/4"  (10 /100шт)</t>
  </si>
  <si>
    <t>VLC-330234</t>
  </si>
  <si>
    <t>VTp.762.0.02506</t>
  </si>
  <si>
    <t>Соединитель PPR разъемный с переходом на вн. р. 25х1"  (10 /100шт)</t>
  </si>
  <si>
    <t>455.00 руб.</t>
  </si>
  <si>
    <t>VLC-330235</t>
  </si>
  <si>
    <t>VTp.762.0.03206</t>
  </si>
  <si>
    <t>Соединитель PPR разъемный с переходом на вн. р. 32х1" (5 /70шт)</t>
  </si>
  <si>
    <t>580.00 руб.</t>
  </si>
  <si>
    <t>VLC-330236</t>
  </si>
  <si>
    <t>VTp.762.0.04007</t>
  </si>
  <si>
    <t>Соединитель PPR разъемный с переходом на вн. р. 40х1 1/4" (5 /40шт)</t>
  </si>
  <si>
    <t>962.00 руб.</t>
  </si>
  <si>
    <t>VLC-330237</t>
  </si>
  <si>
    <t>VTp.762.0.04008</t>
  </si>
  <si>
    <t>Соединитель PPR разъемный с переходом на вн. р. 40х1 1/2"  (5 /35шт)</t>
  </si>
  <si>
    <t>1 093.00 руб.</t>
  </si>
  <si>
    <t>VLC-330238</t>
  </si>
  <si>
    <t>VTp.762.0.05008</t>
  </si>
  <si>
    <t>Соединитель PPR разъемный с переходом на вн. р. 50х1 1/2"  (5 /25шт)</t>
  </si>
  <si>
    <t>2 103.00 руб.</t>
  </si>
  <si>
    <t>VLC-330239</t>
  </si>
  <si>
    <t>VTp.762.0.06309</t>
  </si>
  <si>
    <t>Соединитель PPR разъемный с переходом на вн. р. 63х2"  (1 /10шт)</t>
  </si>
  <si>
    <t>4 789.00 руб.</t>
  </si>
  <si>
    <t>VLC-330240</t>
  </si>
  <si>
    <t>VTp.763.0.020</t>
  </si>
  <si>
    <t>Муфта PPR разъемная 20мм  (10 /140шт)</t>
  </si>
  <si>
    <t>284.00 руб.</t>
  </si>
  <si>
    <t>VLC-330241</t>
  </si>
  <si>
    <t>VTp.763.0.025</t>
  </si>
  <si>
    <t>Муфта PPR разъемная 25мм  (10 /80шт)</t>
  </si>
  <si>
    <t>506.00 руб.</t>
  </si>
  <si>
    <t>VLC-330242</t>
  </si>
  <si>
    <t>VTp.763.0.032</t>
  </si>
  <si>
    <t>Муфта PPR разъемная 32мм (5 /55шт)</t>
  </si>
  <si>
    <t>660.00 руб.</t>
  </si>
  <si>
    <t>VLC-330243</t>
  </si>
  <si>
    <t>VTp.763.0.040</t>
  </si>
  <si>
    <t>Муфта PPR разъемная 40мм  (5 /30шт)</t>
  </si>
  <si>
    <t>1 256.00 руб.</t>
  </si>
  <si>
    <t>VLC-330244</t>
  </si>
  <si>
    <t>VTp.763.0.050</t>
  </si>
  <si>
    <t>Муфта PPR разъемная 50мм (2 /18шт)</t>
  </si>
  <si>
    <t>2 223.00 руб.</t>
  </si>
  <si>
    <t>VLC-330245</t>
  </si>
  <si>
    <t>VTp.763.0.063</t>
  </si>
  <si>
    <t>Муфта PPR разъемная 63мм (1 /9шт)</t>
  </si>
  <si>
    <t>4 486.00 руб.</t>
  </si>
  <si>
    <t>VLC-330246</t>
  </si>
  <si>
    <t>VTp.763.0.075</t>
  </si>
  <si>
    <t>Муфта PPR разъемная 75мм  (1 /5шт)</t>
  </si>
  <si>
    <t>8 001.00 руб.</t>
  </si>
  <si>
    <t>VLC-330247</t>
  </si>
  <si>
    <t>VTp.775.0.020</t>
  </si>
  <si>
    <t>Крестовина PPR компланарная 20мм  (10 /160шт)</t>
  </si>
  <si>
    <t>88.00 руб.</t>
  </si>
  <si>
    <t>VLC-330248</t>
  </si>
  <si>
    <t>VTp.776.L.020</t>
  </si>
  <si>
    <t>Обвод с муфтами PPR длинный 20мм  (10 /120шт)</t>
  </si>
  <si>
    <t>VLC-330249</t>
  </si>
  <si>
    <t>VTp.776.L.025</t>
  </si>
  <si>
    <t>Обвод с муфтами PPR длинный 25мм (10 /70шт)</t>
  </si>
  <si>
    <t>93.00 руб.</t>
  </si>
  <si>
    <t>VLC-330250</t>
  </si>
  <si>
    <t>VTp.776.S.020</t>
  </si>
  <si>
    <t>Обвод с муфтами PPR короткий 20мм  (10 /210шт)</t>
  </si>
  <si>
    <t>30.00 руб.</t>
  </si>
  <si>
    <t>VLC-330251</t>
  </si>
  <si>
    <t>VTp.776.S.025</t>
  </si>
  <si>
    <t>Обвод с муфтами PPR короткий 25мм (5 /120шт)</t>
  </si>
  <si>
    <t>VLC-330252</t>
  </si>
  <si>
    <t>VTp.778.0.020</t>
  </si>
  <si>
    <t>Крестовина PPR двухплоскостная 20мм  (10 /220шт)</t>
  </si>
  <si>
    <t>VLC-330253</t>
  </si>
  <si>
    <t>VTp.778.0.025</t>
  </si>
  <si>
    <t>Крестовина PPR двухплоскостная 25мм  (10 /140шт)</t>
  </si>
  <si>
    <t>VLC-330254</t>
  </si>
  <si>
    <t>VTp.778.0.032</t>
  </si>
  <si>
    <t>Крестовина PPR двухплоскостная 32мм (5 /70шт)</t>
  </si>
  <si>
    <t>69.00 руб.</t>
  </si>
  <si>
    <t>VLC-330255</t>
  </si>
  <si>
    <t>VTp.780.0.402002</t>
  </si>
  <si>
    <t>-Коллектор PPR с отсечными кранами 40 вн. х 2 вых. 20 вн.   (1 /25шт)</t>
  </si>
  <si>
    <t>835.00 руб.</t>
  </si>
  <si>
    <t>VLC-330256</t>
  </si>
  <si>
    <t>VTp.780.0.402003</t>
  </si>
  <si>
    <t>-Коллектор PPR с отсечными кранами 40 вн. х 3 вых. 20 вн.   (1 /20шт)</t>
  </si>
  <si>
    <t>1 298.00 руб.</t>
  </si>
  <si>
    <t>VLC-330258</t>
  </si>
  <si>
    <t>VTp.780.0.402005</t>
  </si>
  <si>
    <t>-Коллектор PPR с отсечными кранами 40 вн. х 5 вых. 20 вн.   (1 /10шт)</t>
  </si>
  <si>
    <t>2 907.00 руб.</t>
  </si>
  <si>
    <t>VLC-330259</t>
  </si>
  <si>
    <t>VTp.780.0.402006</t>
  </si>
  <si>
    <t>-Коллектор PPR с отсечными кранами 40 вн. х 6 вых. 20 вн.   (1 /10шт)</t>
  </si>
  <si>
    <t>4 352.00 руб.</t>
  </si>
  <si>
    <t>VLC-330260</t>
  </si>
  <si>
    <t>VTp.781.0.04004</t>
  </si>
  <si>
    <t>Тройник коллекторный PPR с шаровым краном, 40мм х 1/2" нар. (конус) (5 /60шт)</t>
  </si>
  <si>
    <t>611.00 руб.</t>
  </si>
  <si>
    <t>VLC-330261</t>
  </si>
  <si>
    <t>VTp.781.0.04005</t>
  </si>
  <si>
    <t>Тройник коллекторный PPR с шаровым краном, 40мм х 3/4" нар. (евроконус)  (5 /60шт)</t>
  </si>
  <si>
    <t>680.00 руб.</t>
  </si>
  <si>
    <t>VLC-330262</t>
  </si>
  <si>
    <t>VTp.786.0.020</t>
  </si>
  <si>
    <t>Фильтр PPR вн.-вн. 20мм  (10 /150шт)</t>
  </si>
  <si>
    <t>233.00 руб.</t>
  </si>
  <si>
    <t>VLC-330263</t>
  </si>
  <si>
    <t>VTp.786.0.025</t>
  </si>
  <si>
    <t>Фильтр PPR вн.-вн. 25мм  (10 /100шт)</t>
  </si>
  <si>
    <t>293.00 руб.</t>
  </si>
  <si>
    <t>VLC-330264</t>
  </si>
  <si>
    <t>VTp.786.0.032</t>
  </si>
  <si>
    <t>Фильтр PPR вн.-вн. 32мм   (5 /60шт)</t>
  </si>
  <si>
    <t>520.00 руб.</t>
  </si>
  <si>
    <t>VLC-330265</t>
  </si>
  <si>
    <t>VTp.787.0.020</t>
  </si>
  <si>
    <t>Фильтр PPR вн.-нар. 20мм  (10 /160шт)</t>
  </si>
  <si>
    <t>VLC-330266</t>
  </si>
  <si>
    <t>VTp.787.0.025</t>
  </si>
  <si>
    <t>Фильтр PPR вн.-нар. 25мм  (10 /110шт)</t>
  </si>
  <si>
    <t>VLC-330267</t>
  </si>
  <si>
    <t>VTp.787.0.032</t>
  </si>
  <si>
    <t>Фильтр PPR вн.-нар. 32мм  (5 /60шт)</t>
  </si>
  <si>
    <t>VLC-330268</t>
  </si>
  <si>
    <t>VTp.789.080.04</t>
  </si>
  <si>
    <t>Вставка ремонтная для счетчика воды DN15 (3/4", 80 мм, нейлон)  (10 /280шт)</t>
  </si>
  <si>
    <t>92.00 руб.</t>
  </si>
  <si>
    <t>VLC-330269</t>
  </si>
  <si>
    <t>VTp.789.105.05</t>
  </si>
  <si>
    <t>Вставка ремонтная для счетчика воды DN20 (1", 105 мм, нейлон)  (10 /140шт)</t>
  </si>
  <si>
    <t>118.00 руб.</t>
  </si>
  <si>
    <t>VLC-330270</t>
  </si>
  <si>
    <t>VTp.789.110.04</t>
  </si>
  <si>
    <t>Вставка ремонтная для счетчика воды DN15 (3/4". 110 мм, нейлон)   (10 /210шт)</t>
  </si>
  <si>
    <t>107.00 руб.</t>
  </si>
  <si>
    <t>VLC-330271</t>
  </si>
  <si>
    <t>VTp.790.0.020</t>
  </si>
  <si>
    <t>Заглушка PPR 20мм  (10 /900шт)</t>
  </si>
  <si>
    <t>11.00 руб.</t>
  </si>
  <si>
    <t>VLC-330272</t>
  </si>
  <si>
    <t>VTp.790.0.025</t>
  </si>
  <si>
    <t>Заглушка PPR 25мм  (10 /640шт)</t>
  </si>
  <si>
    <t>VLC-330273</t>
  </si>
  <si>
    <t>VTp.790.0.032</t>
  </si>
  <si>
    <t>Заглушка PPR 32мм  (5 /310шт)</t>
  </si>
  <si>
    <t>27.00 руб.</t>
  </si>
  <si>
    <t>VLC-330274</t>
  </si>
  <si>
    <t>VTp.790.0.040</t>
  </si>
  <si>
    <t>Заглушка PPR 40мм   (5 /220шт)</t>
  </si>
  <si>
    <t>VLC-330275</t>
  </si>
  <si>
    <t>VTp.790.0.050</t>
  </si>
  <si>
    <t>Заглушка PPR 50мм   (5 /120шт)</t>
  </si>
  <si>
    <t>VLC-330276</t>
  </si>
  <si>
    <t>VTp.790.0.063</t>
  </si>
  <si>
    <t>Заглушка PPR 63мм  (2 /60шт)</t>
  </si>
  <si>
    <t>136.00 руб.</t>
  </si>
  <si>
    <t>VLC-330277</t>
  </si>
  <si>
    <t>VTp.790.0.090</t>
  </si>
  <si>
    <t>Заглушка PPR 90мм   (1 /24шт)</t>
  </si>
  <si>
    <t>428.00 руб.</t>
  </si>
  <si>
    <t>VLC-330278</t>
  </si>
  <si>
    <t>VTp.791.0.04</t>
  </si>
  <si>
    <t>Пробка PPR с резьбой 1/2"   (10 /750шт)</t>
  </si>
  <si>
    <t>VLC-330279</t>
  </si>
  <si>
    <t>VTp.791.0.05</t>
  </si>
  <si>
    <t>Пробка PPR с резьбой 3/4"  (10 /480шт)</t>
  </si>
  <si>
    <t>VLC-330280</t>
  </si>
  <si>
    <t>VTp.791.0.06</t>
  </si>
  <si>
    <t>Пробка PPR с резьбой 1"  (10 /220шт)</t>
  </si>
  <si>
    <t>37.00 руб.</t>
  </si>
  <si>
    <t>VLC-330281</t>
  </si>
  <si>
    <t>VTp.792.M.04</t>
  </si>
  <si>
    <t>Комплект длинных полипропиленовых пробок с резьбой 1/2" (красная + синяя)    (1 /125шт)</t>
  </si>
  <si>
    <t>ком</t>
  </si>
  <si>
    <t>VLC-330282</t>
  </si>
  <si>
    <t>VTp.793.0.020</t>
  </si>
  <si>
    <t>Обвод PPR 20мм  (10 /130шт)</t>
  </si>
  <si>
    <t>VLC-330283</t>
  </si>
  <si>
    <t>VTp.793.0.025</t>
  </si>
  <si>
    <t>Обвод PPR 25мм (10 /90шт)</t>
  </si>
  <si>
    <t>62.00 руб.</t>
  </si>
  <si>
    <t>VLC-330284</t>
  </si>
  <si>
    <t>VTp.793.0.032</t>
  </si>
  <si>
    <t>Обвод PPR 32мм  (5 /45шт)</t>
  </si>
  <si>
    <t>VLC-330285</t>
  </si>
  <si>
    <t>VTp.793.0.040</t>
  </si>
  <si>
    <t>Обвод PPR 40мм   (5 /25шт)</t>
  </si>
  <si>
    <t>286.00 руб.</t>
  </si>
  <si>
    <t>VLC-330286</t>
  </si>
  <si>
    <t>VTp.794.0.020</t>
  </si>
  <si>
    <t>Компенсатор PPR 20мм   (1 /16шт)</t>
  </si>
  <si>
    <t>VLC-330287</t>
  </si>
  <si>
    <t>VTp.794.0.025</t>
  </si>
  <si>
    <t>Компенсатор PPR 25мм   (1 /10шт)</t>
  </si>
  <si>
    <t>VLC-330288</t>
  </si>
  <si>
    <t>VTp.794.0.032</t>
  </si>
  <si>
    <t>Компенсатор PPR 32мм   (1 /5шт)</t>
  </si>
  <si>
    <t>408.00 руб.</t>
  </si>
  <si>
    <t>VLC-330289</t>
  </si>
  <si>
    <t>VTp.794.0.040</t>
  </si>
  <si>
    <t>Компенсатор PPR 40мм   (1 /5шт)</t>
  </si>
  <si>
    <t>621.00 руб.</t>
  </si>
  <si>
    <t>VLC-900294</t>
  </si>
  <si>
    <t>VTp.703.0.110</t>
  </si>
  <si>
    <t>Муфта PPR 110мм</t>
  </si>
  <si>
    <t>VLC-900295</t>
  </si>
  <si>
    <t>VTp.704.0.110090</t>
  </si>
  <si>
    <t>Муфта переходнная PPR 110-90мм, нар-вн</t>
  </si>
  <si>
    <t>VLC-900296</t>
  </si>
  <si>
    <t>VTp.735.0.110090110</t>
  </si>
  <si>
    <t>Тройник переходной PPR 110-90-110мм</t>
  </si>
  <si>
    <t>1 600.00 руб.</t>
  </si>
  <si>
    <t>VLC-900297</t>
  </si>
  <si>
    <t>VTp.751.0.110</t>
  </si>
  <si>
    <t>Угольник 90 PPR 110мм</t>
  </si>
  <si>
    <t>701.00 руб.</t>
  </si>
  <si>
    <t>VLC-900298</t>
  </si>
  <si>
    <t>VTp.790.0.110</t>
  </si>
  <si>
    <t>Заглушка PPR 110мм</t>
  </si>
  <si>
    <t>463.00 руб.</t>
  </si>
  <si>
    <t>VLC-999078</t>
  </si>
  <si>
    <t>VTp.732.0.04006</t>
  </si>
  <si>
    <t>Тройник PPR с переходом на вн. р. 40х1"</t>
  </si>
  <si>
    <t>434.00 руб.</t>
  </si>
  <si>
    <t>VLC-999079</t>
  </si>
  <si>
    <t>VTp.733.0.04006</t>
  </si>
  <si>
    <t>Тройник PPR с переходом на нар. р. 40х1"</t>
  </si>
  <si>
    <t>515.00 руб.</t>
  </si>
  <si>
    <t>VLC-999080</t>
  </si>
  <si>
    <t>VTp.752.0.04006</t>
  </si>
  <si>
    <t>Угольник PPR с переходом на вн. р. 40х1"</t>
  </si>
  <si>
    <t>368.00 руб.</t>
  </si>
  <si>
    <t>VLC-999081</t>
  </si>
  <si>
    <t>VTp.753.0.04006</t>
  </si>
  <si>
    <t>Угольник PPR с переходом на нар. р. 40х1"</t>
  </si>
  <si>
    <t>469.00 руб.</t>
  </si>
  <si>
    <t>Фитинги полипропиленовые VIEIR</t>
  </si>
  <si>
    <t>PPR-210023</t>
  </si>
  <si>
    <t>VER20Q</t>
  </si>
  <si>
    <t>PPR VIEIR Кран шаровой 20 (сталь шар) (10 /120шт)</t>
  </si>
  <si>
    <t>62.48 руб.</t>
  </si>
  <si>
    <t>PPR-210024</t>
  </si>
  <si>
    <t>VER25Q</t>
  </si>
  <si>
    <t>PPR VIEIR Кран шаровой 25 (сталь шар)  (10 /100шт)</t>
  </si>
  <si>
    <t>89.25 руб.</t>
  </si>
  <si>
    <t>PPR-210025</t>
  </si>
  <si>
    <t>VER32Q</t>
  </si>
  <si>
    <t>PPR VIEIR Кран шаровой 32 (сталь шар) (10 /70шт)</t>
  </si>
  <si>
    <t>113.05 руб.</t>
  </si>
  <si>
    <t>PPR-210026</t>
  </si>
  <si>
    <t>VER40Q</t>
  </si>
  <si>
    <t>PPR VIEIR Кран шаровой 40 (сталь шар) (6 /36шт)</t>
  </si>
  <si>
    <t>261.80 руб.</t>
  </si>
  <si>
    <t>PPR-210027</t>
  </si>
  <si>
    <t>VER50Q</t>
  </si>
  <si>
    <t>PPR VIEIR Кран шаровой 50 (сталь шар) (10 /20шт)</t>
  </si>
  <si>
    <t>346.59 руб.</t>
  </si>
  <si>
    <t>PPR-210028</t>
  </si>
  <si>
    <t>VER63Q</t>
  </si>
  <si>
    <t>PPR VIEIR Кран шаровой 63 (сталь шар) (1 /13шт)</t>
  </si>
  <si>
    <t>605.41 руб.</t>
  </si>
  <si>
    <t>PPR-210035</t>
  </si>
  <si>
    <t>VER203S</t>
  </si>
  <si>
    <t>PPR VIEIR Кран шаровой для радиатора 20х1/2" прямой (сталь шар) (10 /100шт)</t>
  </si>
  <si>
    <t>209.74 руб.</t>
  </si>
  <si>
    <t>PPR-210036</t>
  </si>
  <si>
    <t>VER254S</t>
  </si>
  <si>
    <t>PPR VIEIR Кран шаровой для радиатора 25х3/4" прямой (сталь шар) (10 /90шт)</t>
  </si>
  <si>
    <t>251.39 руб.</t>
  </si>
  <si>
    <t>PPR-210037</t>
  </si>
  <si>
    <t>VER203L</t>
  </si>
  <si>
    <t>PPR VIEIR Кран шаровой для радиатора 20х1/2" угловой (сталь шар) (10 /100шт)</t>
  </si>
  <si>
    <t>PPR-210038</t>
  </si>
  <si>
    <t>VER254L</t>
  </si>
  <si>
    <t>PPR VIEIR Кран шаровой для радиатора 25х3/4" угловой (сталь шар) (10 /80шт)</t>
  </si>
  <si>
    <t>PPR-210539</t>
  </si>
  <si>
    <t>VER203F</t>
  </si>
  <si>
    <t>PPR VIEIR Муфта разъемная (американка) 20 х 1/2" ВНУТ.Р. латунь  (300/20шт)</t>
  </si>
  <si>
    <t>145.78 руб.</t>
  </si>
  <si>
    <t>PPR-210540</t>
  </si>
  <si>
    <t>VER204F</t>
  </si>
  <si>
    <t>PPR VIEIR Муфта разъемная (американка) 20 х 3/4" ВНУТ.Р. латунь  (200/10шт)</t>
  </si>
  <si>
    <t>168.09 руб.</t>
  </si>
  <si>
    <t>PPR-210541</t>
  </si>
  <si>
    <t>VER253F</t>
  </si>
  <si>
    <t>PPR VIEIR Муфта разъемная (американка) 25 х 1/2" ВНУТ.Р. латунь  (180/10шт)</t>
  </si>
  <si>
    <t>229.08 руб.</t>
  </si>
  <si>
    <t>PPR-210542</t>
  </si>
  <si>
    <t>VER254F</t>
  </si>
  <si>
    <t>PPR VIEIR Муфта разъемная (американка) 25 х 3/4" ВНУТ.Р. латунь  (200/10шт)</t>
  </si>
  <si>
    <t>169.58 руб.</t>
  </si>
  <si>
    <t>PPR-210543</t>
  </si>
  <si>
    <t>VER255F</t>
  </si>
  <si>
    <t>PPR VIEIR Муфта разъемная (американка) 25 х 1" ВНУТ.Р. латунь  (150/10шт)</t>
  </si>
  <si>
    <t>PPR-210544</t>
  </si>
  <si>
    <t>VER323F</t>
  </si>
  <si>
    <t>PPR VIEIR Муфта разъемная (американка) 32 х 1/2" ВНУТ.Р. латунь  (140/10шт)</t>
  </si>
  <si>
    <t>255.85 руб.</t>
  </si>
  <si>
    <t>PPR-210545</t>
  </si>
  <si>
    <t>VER324F</t>
  </si>
  <si>
    <t>PPR VIEIR Муфта разъемная (американка) 32 х 3/4" ВНУТ.Р. латунь  (150/10шт)</t>
  </si>
  <si>
    <t>PPR-210546</t>
  </si>
  <si>
    <t>VER325F</t>
  </si>
  <si>
    <t>PPR VIEIR Муфта разъемная (американка) 32 х 1" ВНУТ.Р. латунь  (120/10шт)</t>
  </si>
  <si>
    <t>258.83 руб.</t>
  </si>
  <si>
    <t>PPR-210547</t>
  </si>
  <si>
    <t>VER326F</t>
  </si>
  <si>
    <t>PPR VIEIR Муфта разъемная (американка) 32 х 11/4" ВНУТ.Р. латунь  (100/10шт)</t>
  </si>
  <si>
    <t>291.55 руб.</t>
  </si>
  <si>
    <t>PPR-210548</t>
  </si>
  <si>
    <t>VER405F</t>
  </si>
  <si>
    <t>PPR VIEIR Муфта разъемная (американка) 40 х 1" ВНУТ.Р. латунь  (80/10шт)</t>
  </si>
  <si>
    <t>422.45 руб.</t>
  </si>
  <si>
    <t>PPR-210549</t>
  </si>
  <si>
    <t>VER406F</t>
  </si>
  <si>
    <t>PPR VIEIR Муфта разъемная (американка) 40 х 11/4" ВНУТ.Р. латунь  (70/10шт)</t>
  </si>
  <si>
    <t>486.41 руб.</t>
  </si>
  <si>
    <t>PPR-210550</t>
  </si>
  <si>
    <t>VER507F</t>
  </si>
  <si>
    <t>PPR VIEIR Муфта разъемная (американка) 50 х 11/2" ВНУТ.Р. латунь  (50/10шт)</t>
  </si>
  <si>
    <t>657.48 руб.</t>
  </si>
  <si>
    <t>PPR-210551</t>
  </si>
  <si>
    <t>VER638F</t>
  </si>
  <si>
    <t>PPR VIEIR Муфта разъемная (американка) 63 х 2" ВНУТ.Р. латунь  (30/10шт)</t>
  </si>
  <si>
    <t>1 008.53 руб.</t>
  </si>
  <si>
    <t>PPR-210552</t>
  </si>
  <si>
    <t>VER203M</t>
  </si>
  <si>
    <t>PPR VIEIR Муфта разъемная (американка) 20 х 1/2" НАР.Р. латунь  (300/10шт)</t>
  </si>
  <si>
    <t>133.88 руб.</t>
  </si>
  <si>
    <t>PPR-210553</t>
  </si>
  <si>
    <t>VER204M</t>
  </si>
  <si>
    <t>PPR VIEIR Муфта разъемная (американка) 20 х 3/4" НАР.Р. латунь  (300/10шт)</t>
  </si>
  <si>
    <t>185.94 руб.</t>
  </si>
  <si>
    <t>PPR-210554</t>
  </si>
  <si>
    <t>VER253M</t>
  </si>
  <si>
    <t>PPR VIEIR Муфта разъемная (американка) 25 х 1/2" НАР.Р. латунь (180/10шт)</t>
  </si>
  <si>
    <t>233.54 руб.</t>
  </si>
  <si>
    <t>PPR-210555</t>
  </si>
  <si>
    <t>VER254M</t>
  </si>
  <si>
    <t>PPR VIEIR Муфта разъемная (американка) 25 х 3/4" НАР.Р. латунь  (200/10шт)</t>
  </si>
  <si>
    <t>177.01 руб.</t>
  </si>
  <si>
    <t>PPR-210556</t>
  </si>
  <si>
    <t>VER255M</t>
  </si>
  <si>
    <t>PPR VIEIR Муфта разъемная (американка) 25 х 1" НАР.Р. латунь  (150/10шт)</t>
  </si>
  <si>
    <t>249.90 руб.</t>
  </si>
  <si>
    <t>PPR-210557</t>
  </si>
  <si>
    <t>VER323M</t>
  </si>
  <si>
    <t>PPR VIEIR Муфта разъемная (американка) 32 х 1/2" НАР.Р. латунь  (140/10шт)</t>
  </si>
  <si>
    <t>264.78 руб.</t>
  </si>
  <si>
    <t>PPR-210558</t>
  </si>
  <si>
    <t>VER324M</t>
  </si>
  <si>
    <t>PPR VIEIR Муфта разъемная (американка) 32 х 3/4" НАР.Р. латунь  (100/10шт)</t>
  </si>
  <si>
    <t>300.48 руб.</t>
  </si>
  <si>
    <t>PPR-210559</t>
  </si>
  <si>
    <t>VER325M</t>
  </si>
  <si>
    <t>PPR VIEIR Муфта разъемная (американка) 32 х 1" НАР.Р. латунь  (120/10шт)</t>
  </si>
  <si>
    <t>PPR-210560</t>
  </si>
  <si>
    <t>VER326M</t>
  </si>
  <si>
    <t>PPR VIEIR Муфта разъемная (американка) 32 х 11/4" НАР.Р. латунь (100/10шт)</t>
  </si>
  <si>
    <t>401.63 руб.</t>
  </si>
  <si>
    <t>PPR-210561</t>
  </si>
  <si>
    <t>VER405M</t>
  </si>
  <si>
    <t>PPR VIEIR Муфта разъемная (американка) 40 х 1" НАР.Р. латунь  (800/10шт)</t>
  </si>
  <si>
    <t>458.15 руб.</t>
  </si>
  <si>
    <t>PPR-210562</t>
  </si>
  <si>
    <t>VER406M</t>
  </si>
  <si>
    <t>PPR VIEIR Муфта разъемная (американка) 40 х 11/4" НАР.Р. латунь  (70/10шт)</t>
  </si>
  <si>
    <t>467.08 руб.</t>
  </si>
  <si>
    <t>PPR-210563</t>
  </si>
  <si>
    <t>VER507M</t>
  </si>
  <si>
    <t>PPR VIEIR Муфта разъемная (американка) 50 х 11/2" НАР.Р. латунь  (50/10шт)</t>
  </si>
  <si>
    <t>749.70 руб.</t>
  </si>
  <si>
    <t>PPR-210564</t>
  </si>
  <si>
    <t>VER638M</t>
  </si>
  <si>
    <t>PPR VIEIR Муфта разъемная (американка) 63 х 2" НАР.Р. латунь  (30/10шт)</t>
  </si>
  <si>
    <t>1 127.53 руб.</t>
  </si>
  <si>
    <t>PPR-210565</t>
  </si>
  <si>
    <t>VER20N</t>
  </si>
  <si>
    <t>PPR VIEIR Муфта разъемная (американка) 20x20（ПАЙКА - ПАЙКА ） (240/10шт)</t>
  </si>
  <si>
    <t>142.80 руб.</t>
  </si>
  <si>
    <t>PPR-210566</t>
  </si>
  <si>
    <t>VER25N</t>
  </si>
  <si>
    <t>PPR VIEIR Муфта разъемная (американка) 25x25（ПАЙКА - ПАЙКА ） (150/5шт)</t>
  </si>
  <si>
    <t>PPR-210567</t>
  </si>
  <si>
    <t>VER32N</t>
  </si>
  <si>
    <t>PPR VIEIR Муфта разъемная (американка) 32x32 （ПАЙКА - ПАЙКА ） (100/5шт)</t>
  </si>
  <si>
    <t>316.84 руб.</t>
  </si>
  <si>
    <t>PPR-210568</t>
  </si>
  <si>
    <t>VER203SC</t>
  </si>
  <si>
    <t>П/П Муфта комбинированная с накидной гайкой 20 х 1/2" ВР (360/10шт)</t>
  </si>
  <si>
    <t>77.35 руб.</t>
  </si>
  <si>
    <t>PPR-210569</t>
  </si>
  <si>
    <t>VER204SC</t>
  </si>
  <si>
    <t>П/П Муфта комбинированная с накидной гайкой 20 х 3/4" ВР (280/10шт)</t>
  </si>
  <si>
    <t>92.23 руб.</t>
  </si>
  <si>
    <t>PPR-210570</t>
  </si>
  <si>
    <t>VER253SC</t>
  </si>
  <si>
    <t>П/П Муфта комбинированная с накидной гайкой 25 х 1/2" ВР (320/10шт)</t>
  </si>
  <si>
    <t>PPR-210571</t>
  </si>
  <si>
    <t>VER254SC</t>
  </si>
  <si>
    <t>П/П Муфта комбинированная с накидной гайкой 25 х 3/4" ВР (210/10шт)</t>
  </si>
  <si>
    <t>96.69 руб.</t>
  </si>
  <si>
    <t>PPR-210572</t>
  </si>
  <si>
    <t>VER325SC</t>
  </si>
  <si>
    <t>П/П Муфта комбинированная с накидной гайкой 32 х 1" ВР (160/10шт)</t>
  </si>
  <si>
    <t>206.76 руб.</t>
  </si>
  <si>
    <t>PPR-210573</t>
  </si>
  <si>
    <t>VER203LC</t>
  </si>
  <si>
    <t>П/П Уголок комбинированный с накидной гайкой 20 х 1/2" ВР (300/10шт)</t>
  </si>
  <si>
    <t>80.33 руб.</t>
  </si>
  <si>
    <t>PPR-210574</t>
  </si>
  <si>
    <t>VER204LC</t>
  </si>
  <si>
    <t>П/П Уголок комбинированный с накидной гайкой 20 х 3/4" ВР (240/10шт)</t>
  </si>
  <si>
    <t>PPR-210575</t>
  </si>
  <si>
    <t>VER253LC</t>
  </si>
  <si>
    <t>П/П Уголок комбинированный с накидной гайкой 25 х 1/2" ВР (200/10шт)</t>
  </si>
  <si>
    <t>PPR-210576</t>
  </si>
  <si>
    <t>VER254LC</t>
  </si>
  <si>
    <t>П/П Уголок комбинированный с накидной гайкой 25 х 3/4" ВР (180/10шт)</t>
  </si>
  <si>
    <t>107.10 руб.</t>
  </si>
  <si>
    <t>SST-100128</t>
  </si>
  <si>
    <t>Тестовая Заглушка Красная</t>
  </si>
  <si>
    <t>22.39 руб.</t>
  </si>
  <si>
    <t>SST-100129</t>
  </si>
  <si>
    <t>Тестовая Заглушка Синяя</t>
  </si>
  <si>
    <t>VER-000546</t>
  </si>
  <si>
    <t>VER407F</t>
  </si>
  <si>
    <t>PPR VIEIR Муфта разъемная (американка) 40 х 11/2" ВНУТ.Р. (60/6шт)</t>
  </si>
  <si>
    <t>441.79 руб.</t>
  </si>
  <si>
    <t>VER-000547</t>
  </si>
  <si>
    <t>VER508F</t>
  </si>
  <si>
    <t>PPR VIEIR Муфта разъемная (американка) 50 х 2" ВНУТ.Р. (40/4шт)</t>
  </si>
  <si>
    <t>828.54 руб.</t>
  </si>
  <si>
    <t>VER-000548</t>
  </si>
  <si>
    <t>VER20Q-A</t>
  </si>
  <si>
    <t>PPR VIEIR Кран шаровой (латунный шар) 20мм "ViEiR" (120/10шт)</t>
  </si>
  <si>
    <t>120.49 руб.</t>
  </si>
  <si>
    <t>VER-000549</t>
  </si>
  <si>
    <t>VER25Q-A</t>
  </si>
  <si>
    <t>PPR VIEIR Кран шаровой (латунный шар) 25мм "ViEiR" (100/5шт)</t>
  </si>
  <si>
    <t>163.63 руб.</t>
  </si>
  <si>
    <t>VER-000550</t>
  </si>
  <si>
    <t>VER32Q-A</t>
  </si>
  <si>
    <t>PPR VIEIR Кран шаровой (латунный шар) 32мм "ViEiR" (70/5шт)</t>
  </si>
  <si>
    <t>212.71 руб.</t>
  </si>
  <si>
    <t>VER-000551</t>
  </si>
  <si>
    <t>VER40Q-A</t>
  </si>
  <si>
    <t>PPR VIEIR Кран шаровой (латунный шар) 40мм "ViEiR" (36/2шт)</t>
  </si>
  <si>
    <t>487.90 руб.</t>
  </si>
  <si>
    <t>VER-000552</t>
  </si>
  <si>
    <t>VER50Q-A</t>
  </si>
  <si>
    <t>PPR VIEIR Кран шаровой (латунный шар) 50мм "ViEiR" (20/1шт)</t>
  </si>
  <si>
    <t>667.89 руб.</t>
  </si>
  <si>
    <t>VER-000553</t>
  </si>
  <si>
    <t>VER63Q-A</t>
  </si>
  <si>
    <t>PPR VIEIR Кран шаровой (латунный шар) 63мм "ViEiR" (13/1шт)</t>
  </si>
  <si>
    <t>944.56 руб.</t>
  </si>
  <si>
    <t>VER-000554</t>
  </si>
  <si>
    <t>VER203S-A</t>
  </si>
  <si>
    <t>PPR VIEIR Кран для радиатора 20 x 1/2" прямой (латунный шар) "ViEiR" (100/1шт)</t>
  </si>
  <si>
    <t>324.28 руб.</t>
  </si>
  <si>
    <t>VER-000555</t>
  </si>
  <si>
    <t>VER254S-A</t>
  </si>
  <si>
    <t>PPR VIEIR Кран для радиатора 25 x 3/4" прямой (латунный шар) "ViEiR" (90/1шт)</t>
  </si>
  <si>
    <t>407.58 руб.</t>
  </si>
  <si>
    <t>VER-000556</t>
  </si>
  <si>
    <t>VER203L-A</t>
  </si>
  <si>
    <t>PPR VIEIR Кран для радиатора 20 x 1/2" угловой (латунный шар) "ViEiR" (100/1шт)</t>
  </si>
  <si>
    <t>VER-000557</t>
  </si>
  <si>
    <t>VER254L-A</t>
  </si>
  <si>
    <t>PPR VIEIR Кран для радиатора 25 x 3/4" угловой (латунный шар) "ViEiR" (80/1шт)</t>
  </si>
  <si>
    <t>VER-000558</t>
  </si>
  <si>
    <t>VRPF203</t>
  </si>
  <si>
    <t>PPR VIEIR Муфта разъемная (американка) 20 х 1/2" ВНУТ.Р. латунь (360/30шт)</t>
  </si>
  <si>
    <t>139.83 руб.</t>
  </si>
  <si>
    <t>VER-000559</t>
  </si>
  <si>
    <t>VRPF204</t>
  </si>
  <si>
    <t>PPR VIEIR Муфта разъемная (американка) 20 х 3/4" ВНУТ.Р. латунь (350/25шт)</t>
  </si>
  <si>
    <t>136.85 руб.</t>
  </si>
  <si>
    <t>VER-000560</t>
  </si>
  <si>
    <t>VRPF253</t>
  </si>
  <si>
    <t>PPR VIEIR Муфта разъемная (американка) 25 х 1/2" ВНУТ.Р. латунь (200/25шт)</t>
  </si>
  <si>
    <t>214.20 руб.</t>
  </si>
  <si>
    <t>VER-000561</t>
  </si>
  <si>
    <t>VRPF254</t>
  </si>
  <si>
    <t>PPR VIEIR Муфта разъемная (американка) 25 х 3/4" ВНУТ.Р. латунь (200/25шт)</t>
  </si>
  <si>
    <t>208.25 руб.</t>
  </si>
  <si>
    <t>VER-000562</t>
  </si>
  <si>
    <t>VRPF255</t>
  </si>
  <si>
    <t>PPR VIEIR Муфта разъемная (американка) 25 х 1" ВНУТ.Р. латунь (180/15шт)</t>
  </si>
  <si>
    <t>243.95 руб.</t>
  </si>
  <si>
    <t>VER-000563</t>
  </si>
  <si>
    <t>VRPF323</t>
  </si>
  <si>
    <t>PPR VIEIR Муфта разъемная (американка) 32 х 1/2" ВНУТ.Р. латунь (150/15шт)</t>
  </si>
  <si>
    <t>278.16 руб.</t>
  </si>
  <si>
    <t>VER-000564</t>
  </si>
  <si>
    <t>VRPF324</t>
  </si>
  <si>
    <t>PPR VIEIR Муфта разъемная (американка) 32 х 3/4" ВНУТ.Р. латунь (150/15шт)</t>
  </si>
  <si>
    <t>266.26 руб.</t>
  </si>
  <si>
    <t>VER-000565</t>
  </si>
  <si>
    <t>VRPF325</t>
  </si>
  <si>
    <t>PPR VIEIR Муфта разъемная (американка) 32 х 1" ВНУТ.Р. латунь (140/10шт)</t>
  </si>
  <si>
    <t>276.68 руб.</t>
  </si>
  <si>
    <t>VER-000566</t>
  </si>
  <si>
    <t>VRPF326</t>
  </si>
  <si>
    <t>PPR VIEIR Муфта разъемная (американка) 32 х 1 1/4" ВНУТ.Р. латунь (120/10шт)</t>
  </si>
  <si>
    <t>339.15 руб.</t>
  </si>
  <si>
    <t>VER-000567</t>
  </si>
  <si>
    <t>VRPM203</t>
  </si>
  <si>
    <t>PPR VIEIR Муфта разъемная (американка) 20 х 1/2" НАР.Р. латунь (330/30шт)</t>
  </si>
  <si>
    <t>151.73 руб.</t>
  </si>
  <si>
    <t>VER-000568</t>
  </si>
  <si>
    <t>VRPM204</t>
  </si>
  <si>
    <t>PPR VIEIR Муфта разъемная (американка) 20 х 3/4" НАР.Р. латунь (325/25шт)</t>
  </si>
  <si>
    <t>178.50 руб.</t>
  </si>
  <si>
    <t>VER-000569</t>
  </si>
  <si>
    <t>VRPM253</t>
  </si>
  <si>
    <t>PPR VIEIR Муфта разъемная (американка) 25 х 1/2" НАР.Р. латунь (200/20шт)</t>
  </si>
  <si>
    <t>235.03 руб.</t>
  </si>
  <si>
    <t>VER-000570</t>
  </si>
  <si>
    <t>VRPM254</t>
  </si>
  <si>
    <t>PPR VIEIR Муфта разъемная (американка) 25 х 3/4" НАР.Р. латунь (180/20шт)</t>
  </si>
  <si>
    <t>230.56 руб.</t>
  </si>
  <si>
    <t>VER-000571</t>
  </si>
  <si>
    <t>VRPM255</t>
  </si>
  <si>
    <t>PPR VIEIR Муфта разъемная (американка) 25 х 1" НАР.Р. латунь (150/15шт)</t>
  </si>
  <si>
    <t>285.60 руб.</t>
  </si>
  <si>
    <t>VER-000572</t>
  </si>
  <si>
    <t>VRPM323</t>
  </si>
  <si>
    <t>PPR VIEIR Муфта разъемная (американка) 32 х 1/2" НАР.Р. латунь (140/10шт)</t>
  </si>
  <si>
    <t>284.11 руб.</t>
  </si>
  <si>
    <t>VER-000573</t>
  </si>
  <si>
    <t>VRPM324</t>
  </si>
  <si>
    <t>PPR VIEIR Муфта разъемная (американка) 32 х 3/4" НАР.Р. латунь (120/10шт)</t>
  </si>
  <si>
    <t>VER-000574</t>
  </si>
  <si>
    <t>VRPM325</t>
  </si>
  <si>
    <t>PPR VIEIR Муфта разъемная (американка) 32 х 1" НАР.Р. латунь (120/10шт)</t>
  </si>
  <si>
    <t>313.86 руб.</t>
  </si>
  <si>
    <t>VER-000575</t>
  </si>
  <si>
    <t>VRPM326</t>
  </si>
  <si>
    <t>PPR VIEIR Муфта разъемная (американка) 32 х 1 1/4" НАР.Р. латунь (110/10шт)</t>
  </si>
  <si>
    <t>420.96 руб.</t>
  </si>
  <si>
    <t>VER-000743</t>
  </si>
  <si>
    <t>VRTF203</t>
  </si>
  <si>
    <t>PPR VIEIR Тройник комбинированный 20-1/2" ВНУТ.Р. латунь (180/20шт)</t>
  </si>
  <si>
    <t>74.38 руб.</t>
  </si>
  <si>
    <t>VER-000744</t>
  </si>
  <si>
    <t>VRTF204</t>
  </si>
  <si>
    <t>PPR VIEIR Тройник комбинированный 20-3/4" ВНУТ.Р. латунь (160/20шт)</t>
  </si>
  <si>
    <t>95.20 руб.</t>
  </si>
  <si>
    <t>VER-000745</t>
  </si>
  <si>
    <t>VRTF253</t>
  </si>
  <si>
    <t>PPR VIEIR Тройник комбинированный 25-1/2" ВНУТ.Р. латунь (140/20шт)</t>
  </si>
  <si>
    <t>78.84 руб.</t>
  </si>
  <si>
    <t>VER-000746</t>
  </si>
  <si>
    <t>VRTF254</t>
  </si>
  <si>
    <t>PPR VIEIR Тройник комбинированный 25-3/4" ВНУТ.Р. латунь (100/20шт)</t>
  </si>
  <si>
    <t>102.64 руб.</t>
  </si>
  <si>
    <t>VER-000747</t>
  </si>
  <si>
    <t>VRTF323</t>
  </si>
  <si>
    <t>PPR VIEIR Тройник комбинированный 32-1/2" ВНУТ.Р. латунь (80/10шт)</t>
  </si>
  <si>
    <t>87.76 руб.</t>
  </si>
  <si>
    <t>VER-000748</t>
  </si>
  <si>
    <t>VRTF324</t>
  </si>
  <si>
    <t>PPR VIEIR Тройник комбинированный 32-3/4" ВНУТ.Р. латунь (80/10шт)</t>
  </si>
  <si>
    <t>114.54 руб.</t>
  </si>
  <si>
    <t>VER-000749</t>
  </si>
  <si>
    <t>VRTF325</t>
  </si>
  <si>
    <t>PPR VIEIR Тройник комбинированный 32-1" ВНУТ.Р. латунь (70/10шт)</t>
  </si>
  <si>
    <t>154.70 руб.</t>
  </si>
  <si>
    <t>VER-000750</t>
  </si>
  <si>
    <t>VRTM203</t>
  </si>
  <si>
    <t>PPR VIEIR Тройник комбинированный 20-1/2" НАР.Р. латунь (160/20шт)</t>
  </si>
  <si>
    <t>VER-000751</t>
  </si>
  <si>
    <t>VRTM204</t>
  </si>
  <si>
    <t>PPR VIEIR Тройник комбинированный 20-3/4" НАР.Р. латунь (140/20шт)</t>
  </si>
  <si>
    <t>126.44 руб.</t>
  </si>
  <si>
    <t>VER-000752</t>
  </si>
  <si>
    <t>VRTM253</t>
  </si>
  <si>
    <t>PPR VIEIR Тройник комбинированный 25-1/2" НАР.Р. латунь (120/10шт)</t>
  </si>
  <si>
    <t>VER-000753</t>
  </si>
  <si>
    <t>VRTM254</t>
  </si>
  <si>
    <t>PPR VIEIR Тройник комбинированный 25-3/4" НАР.Р. латунь (100/10шт)</t>
  </si>
  <si>
    <t>132.39 руб.</t>
  </si>
  <si>
    <t>VER-000754</t>
  </si>
  <si>
    <t>VRTM323</t>
  </si>
  <si>
    <t>PPR VIEIR Тройник комбинированный 32-1/2" НАР.Р. латунь (80/10шт)</t>
  </si>
  <si>
    <t>105.61 руб.</t>
  </si>
  <si>
    <t>VER-000755</t>
  </si>
  <si>
    <t>VRTM324</t>
  </si>
  <si>
    <t>PPR VIEIR Тройник комбинированный 32-3/4" НАР.Р. латунь (70/10шт)</t>
  </si>
  <si>
    <t>144.29 руб.</t>
  </si>
  <si>
    <t>VER-000756</t>
  </si>
  <si>
    <t>VRTM325</t>
  </si>
  <si>
    <t>PPR VIEIR Тройник комбинированный 32-1" НАР.Р. латунь (60/10шт)</t>
  </si>
  <si>
    <t>190.40 руб.</t>
  </si>
  <si>
    <t>VER-000757</t>
  </si>
  <si>
    <t>VRZLF203</t>
  </si>
  <si>
    <t>PPR VIEIR Угол с креплением (водорозетка) 20-1/2" ВНУТ.Р. латунь (160/20шт)</t>
  </si>
  <si>
    <t>75.86 руб.</t>
  </si>
  <si>
    <t>VER-000758</t>
  </si>
  <si>
    <t>VRZLF204</t>
  </si>
  <si>
    <t>PPR VIEIR Угол с креплением (водорозетка) 20-3/4" ВНУТ.Р. латунь (120/20шт)</t>
  </si>
  <si>
    <t>VER-000759</t>
  </si>
  <si>
    <t>VRZLF253</t>
  </si>
  <si>
    <t>PPR VIEIR Угол с креплением (водорозетка) 25-1/2" ВНУТ.Р. латунь (120/10шт)</t>
  </si>
  <si>
    <t>VER-000760</t>
  </si>
  <si>
    <t>VRZLF254</t>
  </si>
  <si>
    <t>PPR VIEIR Угол с креплением (водорозетка) 25-3/4" ВНУТ.Р. латунь (100/10шт)</t>
  </si>
  <si>
    <t>VER-000761</t>
  </si>
  <si>
    <t>VRZLF325</t>
  </si>
  <si>
    <t>PPR VIEIR Угол с креплением (водорозетка) 32-1" ВНУТ.Р. латунь (60/10шт)</t>
  </si>
  <si>
    <t>157.68 руб.</t>
  </si>
  <si>
    <t>VER-000762</t>
  </si>
  <si>
    <t>VRZLM203</t>
  </si>
  <si>
    <t>PPR VIEIR Угол с креплением (водорозетка) 20-1/2" НАР.Р. латунь (150/15шт)</t>
  </si>
  <si>
    <t>93.71 руб.</t>
  </si>
  <si>
    <t>VER-000763</t>
  </si>
  <si>
    <t>VRZLM204</t>
  </si>
  <si>
    <t>PPR VIEIR Угол с креплением (водорозетка) 20-3/4" НАР.Р. латунь (120/10шт)</t>
  </si>
  <si>
    <t>VER-000764</t>
  </si>
  <si>
    <t>VRZLM253</t>
  </si>
  <si>
    <t>PPR VIEIR Угол с креплением (водорозетка) 25-1/2" НАР.Р. латунь (120/10шт)</t>
  </si>
  <si>
    <t>172.55 руб.</t>
  </si>
  <si>
    <t>VER-000765</t>
  </si>
  <si>
    <t>VRZLM254</t>
  </si>
  <si>
    <t>PPR VIEIR Угол с креплением (водорозетка) 25-3/4" НАР.Р. латунь (100/10шт)</t>
  </si>
  <si>
    <t>VER-000766</t>
  </si>
  <si>
    <t>VRZLM325</t>
  </si>
  <si>
    <t>PPR VIEIR Угол с креплением (водорозетка) 32-1" НАР.Р. латунь (50/10шт)</t>
  </si>
  <si>
    <t>191.89 руб.</t>
  </si>
  <si>
    <t>VER-000767</t>
  </si>
  <si>
    <t>VRPC203</t>
  </si>
  <si>
    <t>PPR VIEIR Настенный комплект для смесителя 20х1/2" ВНУТ.Р. латунь (44/4шт)</t>
  </si>
  <si>
    <t>VER-000768</t>
  </si>
  <si>
    <t>VRPC253</t>
  </si>
  <si>
    <t>PPR VIEIR Настенный комплект для смесителя 25х1/2" ВНУТ.Р. латунь (40/4шт)</t>
  </si>
  <si>
    <t>VER-000802</t>
  </si>
  <si>
    <t>VRSF203</t>
  </si>
  <si>
    <t>PPR VIEIR Муфта комбинированная 20x1/2" ВНУТ.Р. латунь (320/40шт)</t>
  </si>
  <si>
    <t>69.91 руб.</t>
  </si>
  <si>
    <t>VER-000803</t>
  </si>
  <si>
    <t>VRSF204</t>
  </si>
  <si>
    <t>PPR VIEIR Муфта комбинированная 20x3/4" ВНУТ.Р. латунь (250/25шт)</t>
  </si>
  <si>
    <t>VER-000804</t>
  </si>
  <si>
    <t>VRSF253</t>
  </si>
  <si>
    <t>PPR VIEIR Муфта комбинированная 25x1/2" ВНУТ.Р. латунь (275/25шт)</t>
  </si>
  <si>
    <t>72.89 руб.</t>
  </si>
  <si>
    <t>VER-000805</t>
  </si>
  <si>
    <t>VRSF254</t>
  </si>
  <si>
    <t>PPR VIEIR Муфта комбинированная 25x3/4" ВНУТ.Р. латунь (220/20шт)</t>
  </si>
  <si>
    <t>VER-000806</t>
  </si>
  <si>
    <t>VRSF255</t>
  </si>
  <si>
    <t>PPR VIEIR Муфта комбинированная 25x1" ВНУТ.Р. латунь (140/20шт)</t>
  </si>
  <si>
    <t>138.34 руб.</t>
  </si>
  <si>
    <t>VER-000807</t>
  </si>
  <si>
    <t>VRSF323</t>
  </si>
  <si>
    <t>PPR VIEIR Муфта комбинированная 32x1/2" ВНУТ.Р. латунь (160/10шт)</t>
  </si>
  <si>
    <t>VER-000808</t>
  </si>
  <si>
    <t>VRSF324</t>
  </si>
  <si>
    <t>PPR VIEIR Муфта комбинированная 32x3/4" ВНУТ.Р. латунь (140/10шт)</t>
  </si>
  <si>
    <t>101.15 руб.</t>
  </si>
  <si>
    <t>VER-000809</t>
  </si>
  <si>
    <t>VRSF325</t>
  </si>
  <si>
    <t>PPR VIEIR Муфта комбинированная 32x1" ВНУТ.Р. латунь (120/10шт)</t>
  </si>
  <si>
    <t>VER-000810</t>
  </si>
  <si>
    <t>VRSM203</t>
  </si>
  <si>
    <t>PPR VIEIR Муфта комбинированная 20x1/2" НАР.Р. латунь (270/30шт)</t>
  </si>
  <si>
    <t>VER-000811</t>
  </si>
  <si>
    <t>VRSM204</t>
  </si>
  <si>
    <t>PPR VIEIR Муфта комбинированная 20x3/4" НАР.Р. латунь (200/20шт)</t>
  </si>
  <si>
    <t>123.46 руб.</t>
  </si>
  <si>
    <t>VER-000812</t>
  </si>
  <si>
    <t>VRSM253</t>
  </si>
  <si>
    <t>PPR VIEIR Муфта комбинированная 25x1/2" НАР.Р. латунь (220/20шт)</t>
  </si>
  <si>
    <t>VER-000813</t>
  </si>
  <si>
    <t>VRSM254</t>
  </si>
  <si>
    <t>PPR VIEIR Муфта комбинированная 25x3/4" НАР.Р. латунь (180/20шт)</t>
  </si>
  <si>
    <t>127.93 руб.</t>
  </si>
  <si>
    <t>VER-000814</t>
  </si>
  <si>
    <t>VRSM255</t>
  </si>
  <si>
    <t>PPR VIEIR Муфта комбинированная 25x1" НАР.Р. латунь (120/20шт)</t>
  </si>
  <si>
    <t>174.04 руб.</t>
  </si>
  <si>
    <t>VER-000815</t>
  </si>
  <si>
    <t>VRSM323</t>
  </si>
  <si>
    <t>PPR VIEIR Муфта комбинированная 32x1/2" НАР.Р. латунь (150/10шт)</t>
  </si>
  <si>
    <t>VER-000816</t>
  </si>
  <si>
    <t>VRSM324</t>
  </si>
  <si>
    <t>PPR VIEIR Муфта комбинированная 32x3/4" НАР.Р. латунь (140/10шт)</t>
  </si>
  <si>
    <t>VER-000817</t>
  </si>
  <si>
    <t>VRSM325</t>
  </si>
  <si>
    <t>PPR VIEIR Муфта комбинированная 32x1" НАР.Р. латунь (100/10шт)</t>
  </si>
  <si>
    <t>VER-000818</t>
  </si>
  <si>
    <t>VRLF203</t>
  </si>
  <si>
    <t>PPR VIEIR Угол комбинированный  20x1/2" ВНУТ.Р. латунь (250/25шт)</t>
  </si>
  <si>
    <t>VER-000819</t>
  </si>
  <si>
    <t>VRLF253</t>
  </si>
  <si>
    <t>PPR VIEIR Угол комбинированный  25x1/2" ВНУТ.Р. латунь (200/20шт)</t>
  </si>
  <si>
    <t>VER-000820</t>
  </si>
  <si>
    <t>VRLF254</t>
  </si>
  <si>
    <t>PPR VIEIR Угол комбинированный  25x3/4" ВНУТ.Р. латунь (160/20шт)</t>
  </si>
  <si>
    <t>104.13 руб.</t>
  </si>
  <si>
    <t>VER-000821</t>
  </si>
  <si>
    <t>VRLF204</t>
  </si>
  <si>
    <t>PPR VIEIR Угол комбинированный  20-3/4" ВНУТ.Р. латунь (200/20шт)</t>
  </si>
  <si>
    <t>VER-000822</t>
  </si>
  <si>
    <t>VRLF323</t>
  </si>
  <si>
    <t>PPR VIEIR Угол комбинированный  32-1/2" ВНУТ.Р. латунь (100/10шт)</t>
  </si>
  <si>
    <t>VER-000823</t>
  </si>
  <si>
    <t>VRLF324</t>
  </si>
  <si>
    <t>PPR VIEIR Угол комбинированный  32-3/4" ВНУТ.Р. латунь (100/10шт)</t>
  </si>
  <si>
    <t>110.08 руб.</t>
  </si>
  <si>
    <t>VER-000824</t>
  </si>
  <si>
    <t>VRLF325</t>
  </si>
  <si>
    <t>PPR VIEIR Угол комбинированный  32-1" ВНУТ.Р. латунь (90/10шт)</t>
  </si>
  <si>
    <t>148.75 руб.</t>
  </si>
  <si>
    <t>VER-000825</t>
  </si>
  <si>
    <t>VRLM203</t>
  </si>
  <si>
    <t>PPR VIEIR Угол комбинированный  20-1/2" НАР.Р. латунь (180/20шт)</t>
  </si>
  <si>
    <t>VER-000826</t>
  </si>
  <si>
    <t>VRLM253</t>
  </si>
  <si>
    <t>PPR VIEIR Угол комбинированный  25-1/2" НАР.Р. латунь (220/20шт)</t>
  </si>
  <si>
    <t>98.18 руб.</t>
  </si>
  <si>
    <t>VER-000827</t>
  </si>
  <si>
    <t>VRLM254</t>
  </si>
  <si>
    <t>PPR VIEIR Угол комбинированный  25-3/4" НАР.Р. латунь (140/20шт)</t>
  </si>
  <si>
    <t>VER-000828</t>
  </si>
  <si>
    <t>VRLM204</t>
  </si>
  <si>
    <t>PPR VIEIR Угол комбинированный  20-3/4" НАР.Р. латунь (180/20шт)</t>
  </si>
  <si>
    <t>VER-000829</t>
  </si>
  <si>
    <t>VRLM323</t>
  </si>
  <si>
    <t>PPR VIEIR Угол комбинированный  32-1/2" НАР.Р. латунь (100/10шт)</t>
  </si>
  <si>
    <t>VER-000830</t>
  </si>
  <si>
    <t>VRLM324</t>
  </si>
  <si>
    <t>PPR VIEIR Угол комбинированный  32-3/4" НАР.Р. латунь (90/10шт)</t>
  </si>
  <si>
    <t>VER-000831</t>
  </si>
  <si>
    <t>VRLM325</t>
  </si>
  <si>
    <t>PPR VIEIR Угол комбинированный  32-1" НАР.Р. латунь (80/10шт)</t>
  </si>
  <si>
    <t>182.96 руб.</t>
  </si>
  <si>
    <t>VER-000937</t>
  </si>
  <si>
    <t>VER205F</t>
  </si>
  <si>
    <t>PPR VIEIR Муфта разъемная (американка) 20x1" ВНУТ.Р. (150/15шт)</t>
  </si>
  <si>
    <t>203.79 руб.</t>
  </si>
  <si>
    <t>VER-000938</t>
  </si>
  <si>
    <t>VER205M</t>
  </si>
  <si>
    <t>PPR VIEIR Муфта разъемная (американка) 20x1" НАР.Р. (150/15шт)</t>
  </si>
  <si>
    <t>226.10 руб.</t>
  </si>
  <si>
    <t>VER-000939</t>
  </si>
  <si>
    <t>VER203S-B</t>
  </si>
  <si>
    <t>Вентиль комбинированный разборный прямой DN20-1/2" (90/1шт)</t>
  </si>
  <si>
    <t>395.68 руб.</t>
  </si>
  <si>
    <t>VER-000940</t>
  </si>
  <si>
    <t>VER254S-B</t>
  </si>
  <si>
    <t>Вентиль комбинированный разборный прямой DN25-3/4"  (55/1шт)</t>
  </si>
  <si>
    <t>711.03 руб.</t>
  </si>
  <si>
    <t>VER-000941</t>
  </si>
  <si>
    <t>VER203L-B</t>
  </si>
  <si>
    <t>Вентиль комбинированный разборный угловой DN20-1/2" (90/1шт)</t>
  </si>
  <si>
    <t>400.14 руб.</t>
  </si>
  <si>
    <t>VER-000942</t>
  </si>
  <si>
    <t>VER254L-B</t>
  </si>
  <si>
    <t>Вентиль комбинированный разборный угловой DN25-3/4"  (55/1шт)</t>
  </si>
  <si>
    <t>VER-001231</t>
  </si>
  <si>
    <t>VPR10-255LF</t>
  </si>
  <si>
    <t>PPR VIEIR Угол с накидной гайкой 25 х 1" латунь (130шт)</t>
  </si>
  <si>
    <t>VER-001232</t>
  </si>
  <si>
    <t>VPR11-255SC</t>
  </si>
  <si>
    <t>PPR VIEIR Муфта с накидной гайкой 25 х 1" (180шт)</t>
  </si>
  <si>
    <t>223.13 руб.</t>
  </si>
  <si>
    <t>VER-001233</t>
  </si>
  <si>
    <t>VPR13-407SF</t>
  </si>
  <si>
    <t>Муфта прямая комбинированная(SUS304) 40 х 1 1/2"F (70шт)</t>
  </si>
  <si>
    <t>VER-001234</t>
  </si>
  <si>
    <t>VPR13-407SM</t>
  </si>
  <si>
    <t>Муфта прямая комбинированная(SUS304) 40 х 1 1/2"M (50шт)</t>
  </si>
  <si>
    <t>VER-001235</t>
  </si>
  <si>
    <t>VPR14-204SF</t>
  </si>
  <si>
    <t>PPR VIEIR Штуцер с накидной гайкой 20 x 3/4" ВНУТ.Р. латунь (425шт)</t>
  </si>
  <si>
    <t>VER-001236</t>
  </si>
  <si>
    <t>VPR14-255SF</t>
  </si>
  <si>
    <t>PPR VIEIR Штуцер с накидной гайкой 25 x 1" ВНУТ.Р. латунь (240шт)</t>
  </si>
  <si>
    <t>141.31 руб.</t>
  </si>
  <si>
    <t>VER-001237</t>
  </si>
  <si>
    <t>VPR15-204SM</t>
  </si>
  <si>
    <t>PPR VIEIR Патрубок под накидную гайку 20 x 3/4" НАР.Р. латунь (375шт)</t>
  </si>
  <si>
    <t>60.99 руб.</t>
  </si>
  <si>
    <t>VER-001238</t>
  </si>
  <si>
    <t>VPR15-255SM</t>
  </si>
  <si>
    <t>PPR VIEIR Патрубок под накидную гайку 25 x 1" НАР.Р. латунь (240шт)</t>
  </si>
  <si>
    <t>111.56 руб.</t>
  </si>
  <si>
    <t>VER-001239</t>
  </si>
  <si>
    <t>VPR16-204SC</t>
  </si>
  <si>
    <t>PPR VIEIR муфта с накидной гайкой под 20 x 3/4" ЕВРОКОНУС латунь (230шт)</t>
  </si>
  <si>
    <t>Фитинги полипропиленовые для аргессивных сред</t>
  </si>
  <si>
    <t>ALT-111101</t>
  </si>
  <si>
    <t>RPPB-050</t>
  </si>
  <si>
    <t>PPR Муфта разъемная 50</t>
  </si>
  <si>
    <t>1 401.76 руб.</t>
  </si>
  <si>
    <t>ALT-111102</t>
  </si>
  <si>
    <t>RPPB-063</t>
  </si>
  <si>
    <t>PPR Муфта разъемная 63</t>
  </si>
  <si>
    <t>1 699.58 руб.</t>
  </si>
  <si>
    <t>ALT-111103</t>
  </si>
  <si>
    <t>RPPB-075</t>
  </si>
  <si>
    <t>PPR Муфта разъемная 75</t>
  </si>
  <si>
    <t>3 931.28 руб.</t>
  </si>
  <si>
    <t>ALT-111104</t>
  </si>
  <si>
    <t>RPPB-090</t>
  </si>
  <si>
    <t>PPR Муфта разъемная 90</t>
  </si>
  <si>
    <t>5 571.29 руб.</t>
  </si>
  <si>
    <t>ALT-111105</t>
  </si>
  <si>
    <t>VPPB-020</t>
  </si>
  <si>
    <t>PPR Кран шаровой PPRC 20 для агрессивных сред</t>
  </si>
  <si>
    <t>2 362.64 руб.</t>
  </si>
  <si>
    <t>ALT-111106</t>
  </si>
  <si>
    <t>VPPB-025</t>
  </si>
  <si>
    <t>PPR Кран шаровой PPRC 25 для агрессивных сред</t>
  </si>
  <si>
    <t>3 006.99 руб.</t>
  </si>
  <si>
    <t>ALT-111107</t>
  </si>
  <si>
    <t>VPPB-032</t>
  </si>
  <si>
    <t>PPR Кран шаровой PPRC 32 для агрессивных сред</t>
  </si>
  <si>
    <t>4 027.22 руб.</t>
  </si>
  <si>
    <t>ALT-111108</t>
  </si>
  <si>
    <t>VPPB-040</t>
  </si>
  <si>
    <t>PPR Кран шаровой PPRC 40 для агрессивных сред</t>
  </si>
  <si>
    <t>4 993.76 руб.</t>
  </si>
  <si>
    <t>ALT-111109</t>
  </si>
  <si>
    <t>VPPB-050</t>
  </si>
  <si>
    <t>PPR Кран шаровой PPRC 50 для агрессивных сред</t>
  </si>
  <si>
    <t>5 827.83 руб.</t>
  </si>
  <si>
    <t>ALT-111110</t>
  </si>
  <si>
    <t>VPPB-063</t>
  </si>
  <si>
    <t>PPR Кран шаровой PPRC 63 для агрессивных сред</t>
  </si>
  <si>
    <t>7 331.33 руб.</t>
  </si>
  <si>
    <t>ALT-111111</t>
  </si>
  <si>
    <t>VPPB-075</t>
  </si>
  <si>
    <t>PPR Кран шаровой PPRC 75 для агрессивных сред</t>
  </si>
  <si>
    <t>15 410.84 руб.</t>
  </si>
  <si>
    <t>ALT-111112</t>
  </si>
  <si>
    <t>VPPB-090</t>
  </si>
  <si>
    <t>PPR Кран шаровой PPRC 90 для агрессивных сред</t>
  </si>
  <si>
    <t>20 755.42 руб.</t>
  </si>
  <si>
    <t>ALT-111113</t>
  </si>
  <si>
    <t>VPPB-110</t>
  </si>
  <si>
    <t>PPR Кран шаровой PPRC 110 для агрессивных сред</t>
  </si>
  <si>
    <t>24 754.01 руб.</t>
  </si>
  <si>
    <t>ALT-111114</t>
  </si>
  <si>
    <t>18VC175</t>
  </si>
  <si>
    <t>PPR Кран шаровой IT-PA 75 PN20 с ручкой</t>
  </si>
  <si>
    <t>10 042.48 руб.</t>
  </si>
  <si>
    <t>ALT-111115</t>
  </si>
  <si>
    <t>18VC190</t>
  </si>
  <si>
    <t>PPR Кран шаровой IT-PA 90 PN10 с ручкой</t>
  </si>
  <si>
    <t>18 714.75 руб.</t>
  </si>
  <si>
    <t>ALT-111116</t>
  </si>
  <si>
    <t>18VC1110</t>
  </si>
  <si>
    <t>PPR Кран шаровой IT-PA 110 PN10 с ручкой</t>
  </si>
  <si>
    <t>32 867.88 руб.</t>
  </si>
  <si>
    <t>ALT-111117</t>
  </si>
  <si>
    <t>18VC1125</t>
  </si>
  <si>
    <t>PPR Кран шаровой IT-PA 125 PN10 с ручкой</t>
  </si>
  <si>
    <t>49 778.80 руб.</t>
  </si>
  <si>
    <t>ALT-111118</t>
  </si>
  <si>
    <t>CPPB-020</t>
  </si>
  <si>
    <t>PPR Клапан обратный 20</t>
  </si>
  <si>
    <t>1 812.18 руб.</t>
  </si>
  <si>
    <t>ALT-111119</t>
  </si>
  <si>
    <t>CPPB-025</t>
  </si>
  <si>
    <t>PPR Клапан обратный 25</t>
  </si>
  <si>
    <t>1 955.64 руб.</t>
  </si>
  <si>
    <t>ALT-111120</t>
  </si>
  <si>
    <t>CPPB-032</t>
  </si>
  <si>
    <t>PPR Клапан обратный 32</t>
  </si>
  <si>
    <t>2 408.69 руб.</t>
  </si>
  <si>
    <t>ALT-111121</t>
  </si>
  <si>
    <t>CPPB-040</t>
  </si>
  <si>
    <t>PPR Клапан обратный 40</t>
  </si>
  <si>
    <t>2 661.64 руб.</t>
  </si>
  <si>
    <t>ALT-111122</t>
  </si>
  <si>
    <t>CPPB-050</t>
  </si>
  <si>
    <t>PPR Клапан обратный 50</t>
  </si>
  <si>
    <t>3 001.42 руб.</t>
  </si>
  <si>
    <t>ALT-111123</t>
  </si>
  <si>
    <t>CPPB-063</t>
  </si>
  <si>
    <t>PPR Клапан обратный 63</t>
  </si>
  <si>
    <t>3 907.50 руб.</t>
  </si>
  <si>
    <t>ALT-111124</t>
  </si>
  <si>
    <t>CPPB-075</t>
  </si>
  <si>
    <t>PPR Клапан обратный 75</t>
  </si>
  <si>
    <t>8 921.20 руб.</t>
  </si>
  <si>
    <t>ALT-111125</t>
  </si>
  <si>
    <t>CPPB-090</t>
  </si>
  <si>
    <t>PPR Клапан обратный 90</t>
  </si>
  <si>
    <t>11 779.15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</si>
</sst>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25aa689_7df4_11ed_a39b_047c1617b143_73313417_a58b_11ee_a526_047c1617b1431.jpeg"/><Relationship Id="rId2" Type="http://schemas.openxmlformats.org/officeDocument/2006/relationships/image" Target="../media/525aa68b_7df4_11ed_a39b_047c1617b143_73313421_a58b_11ee_a526_047c1617b1432.jpeg"/><Relationship Id="rId3" Type="http://schemas.openxmlformats.org/officeDocument/2006/relationships/image" Target="../media/525aa68d_7df4_11ed_a39b_047c1617b143_0d87f4c9_a593_11ee_a526_047c1617b1433.jpeg"/><Relationship Id="rId4" Type="http://schemas.openxmlformats.org/officeDocument/2006/relationships/image" Target="../media/525aa68f_7df4_11ed_a39b_047c1617b143_0d87f4d3_a593_11ee_a526_047c1617b1434.jpeg"/><Relationship Id="rId5" Type="http://schemas.openxmlformats.org/officeDocument/2006/relationships/image" Target="../media/525aa691_7df4_11ed_a39b_047c1617b143_0d87f4dd_a593_11ee_a526_047c1617b1435.jpeg"/><Relationship Id="rId6" Type="http://schemas.openxmlformats.org/officeDocument/2006/relationships/image" Target="../media/525aa693_7df4_11ed_a39b_047c1617b143_0d87f4e5_a593_11ee_a526_047c1617b1436.jpeg"/><Relationship Id="rId7" Type="http://schemas.openxmlformats.org/officeDocument/2006/relationships/image" Target="../media/525aa695_7df4_11ed_a39b_047c1617b143_0d87f4eb_a593_11ee_a526_047c1617b1437.jpeg"/><Relationship Id="rId8" Type="http://schemas.openxmlformats.org/officeDocument/2006/relationships/image" Target="../media/525aa697_7df4_11ed_a39b_047c1617b143_0d87f4f0_a593_11ee_a526_047c1617b1438.jpeg"/><Relationship Id="rId9" Type="http://schemas.openxmlformats.org/officeDocument/2006/relationships/image" Target="../media/525aa699_7df4_11ed_a39b_047c1617b143_7331340c_a58b_11ee_a526_047c1617b1439.jpeg"/><Relationship Id="rId10" Type="http://schemas.openxmlformats.org/officeDocument/2006/relationships/image" Target="../media/525aa69b_7df4_11ed_a39b_047c1617b143_73313411_a58b_11ee_a526_047c1617b14310.jpeg"/><Relationship Id="rId11" Type="http://schemas.openxmlformats.org/officeDocument/2006/relationships/image" Target="../media/525aa69d_7df4_11ed_a39b_047c1617b143_73313414_a58b_11ee_a526_047c1617b14311.jpeg"/><Relationship Id="rId12" Type="http://schemas.openxmlformats.org/officeDocument/2006/relationships/image" Target="../media/525aa69f_7df4_11ed_a39b_047c1617b143_73313418_a58b_11ee_a526_047c1617b14312.jpeg"/><Relationship Id="rId13" Type="http://schemas.openxmlformats.org/officeDocument/2006/relationships/image" Target="../media/525aa6a1_7df4_11ed_a39b_047c1617b143_73313422_a58b_11ee_a526_047c1617b14313.jpeg"/><Relationship Id="rId14" Type="http://schemas.openxmlformats.org/officeDocument/2006/relationships/image" Target="../media/525aa6a3_7df4_11ed_a39b_047c1617b143_0d87f4ca_a593_11ee_a526_047c1617b14314.jpeg"/><Relationship Id="rId15" Type="http://schemas.openxmlformats.org/officeDocument/2006/relationships/image" Target="../media/525aa6a5_7df4_11ed_a39b_047c1617b143_0d87f4d4_a593_11ee_a526_047c1617b14315.jpeg"/><Relationship Id="rId16" Type="http://schemas.openxmlformats.org/officeDocument/2006/relationships/image" Target="../media/525aa6a7_7df4_11ed_a39b_047c1617b143_7331341c_a58b_11ee_a526_047c1617b14316.jpeg"/><Relationship Id="rId17" Type="http://schemas.openxmlformats.org/officeDocument/2006/relationships/image" Target="../media/525aa6a9_7df4_11ed_a39b_047c1617b143_73313425_a58b_11ee_a526_047c1617b14317.jpeg"/><Relationship Id="rId18" Type="http://schemas.openxmlformats.org/officeDocument/2006/relationships/image" Target="../media/525aa6ab_7df4_11ed_a39b_047c1617b143_0d87f4cd_a593_11ee_a526_047c1617b14318.jpeg"/><Relationship Id="rId19" Type="http://schemas.openxmlformats.org/officeDocument/2006/relationships/image" Target="../media/525aa6ad_7df4_11ed_a39b_047c1617b143_0d87f4d7_a593_11ee_a526_047c1617b14319.jpeg"/><Relationship Id="rId20" Type="http://schemas.openxmlformats.org/officeDocument/2006/relationships/image" Target="../media/525aa6af_7df4_11ed_a39b_047c1617b143_0d87f4df_a593_11ee_a526_047c1617b14320.jpeg"/><Relationship Id="rId21" Type="http://schemas.openxmlformats.org/officeDocument/2006/relationships/image" Target="../media/525aa6b1_7df4_11ed_a39b_047c1617b143_0d87f4e2_a593_11ee_a526_047c1617b14321.jpeg"/><Relationship Id="rId22" Type="http://schemas.openxmlformats.org/officeDocument/2006/relationships/image" Target="../media/525aa6b3_7df4_11ed_a39b_047c1617b143_0d87f4e9_a593_11ee_a526_047c1617b14322.jpeg"/><Relationship Id="rId23" Type="http://schemas.openxmlformats.org/officeDocument/2006/relationships/image" Target="../media/525aa6b5_7df4_11ed_a39b_047c1617b143_0d87f4ee_a593_11ee_a526_047c1617b14323.jpeg"/><Relationship Id="rId24" Type="http://schemas.openxmlformats.org/officeDocument/2006/relationships/image" Target="../media/525aa6b7_7df4_11ed_a39b_047c1617b143_7331340f_a58b_11ee_a526_047c1617b14324.jpeg"/><Relationship Id="rId25" Type="http://schemas.openxmlformats.org/officeDocument/2006/relationships/image" Target="../media/525aa6b9_7df4_11ed_a39b_047c1617b143_73313412_a58b_11ee_a526_047c1617b14325.jpeg"/><Relationship Id="rId26" Type="http://schemas.openxmlformats.org/officeDocument/2006/relationships/image" Target="../media/525aa6bb_7df4_11ed_a39b_047c1617b143_73313415_a58b_11ee_a526_047c1617b14326.jpeg"/><Relationship Id="rId27" Type="http://schemas.openxmlformats.org/officeDocument/2006/relationships/image" Target="../media/525aa6bd_7df4_11ed_a39b_047c1617b143_7331341b_a58b_11ee_a526_047c1617b14327.jpeg"/><Relationship Id="rId28" Type="http://schemas.openxmlformats.org/officeDocument/2006/relationships/image" Target="../media/525aa6bf_7df4_11ed_a39b_047c1617b143_73313426_a58b_11ee_a526_047c1617b14328.jpeg"/><Relationship Id="rId29" Type="http://schemas.openxmlformats.org/officeDocument/2006/relationships/image" Target="../media/525aa6c1_7df4_11ed_a39b_047c1617b143_0d87f4ce_a593_11ee_a526_047c1617b14329.jpeg"/><Relationship Id="rId30" Type="http://schemas.openxmlformats.org/officeDocument/2006/relationships/image" Target="../media/525aa6c3_7df4_11ed_a39b_047c1617b143_0d87f4d8_a593_11ee_a526_047c1617b14330.jpeg"/><Relationship Id="rId31" Type="http://schemas.openxmlformats.org/officeDocument/2006/relationships/image" Target="../media/1fb3c3aa_7e0e_11ed_a39b_047c1617b143_7331341f_a58b_11ee_a526_047c1617b14331.jpeg"/><Relationship Id="rId32" Type="http://schemas.openxmlformats.org/officeDocument/2006/relationships/image" Target="../media/1fb3c3ac_7e0e_11ed_a39b_047c1617b143_0d87f4c7_a593_11ee_a526_047c1617b14332.jpeg"/><Relationship Id="rId33" Type="http://schemas.openxmlformats.org/officeDocument/2006/relationships/image" Target="../media/1fb3c3ae_7e0e_11ed_a39b_047c1617b143_0d87f4d1_a593_11ee_a526_047c1617b14333.jpeg"/><Relationship Id="rId34" Type="http://schemas.openxmlformats.org/officeDocument/2006/relationships/image" Target="../media/1fb3c3b0_7e0e_11ed_a39b_047c1617b143_0d87f4db_a593_11ee_a526_047c1617b14334.jpeg"/><Relationship Id="rId35" Type="http://schemas.openxmlformats.org/officeDocument/2006/relationships/image" Target="../media/1fb3c3b2_7e0e_11ed_a39b_047c1617b143_0d87f4e1_a593_11ee_a526_047c1617b14335.jpeg"/><Relationship Id="rId36" Type="http://schemas.openxmlformats.org/officeDocument/2006/relationships/image" Target="../media/1fb3c3b4_7e0e_11ed_a39b_047c1617b143_0d87f4e4_a593_11ee_a526_047c1617b14336.jpeg"/><Relationship Id="rId37" Type="http://schemas.openxmlformats.org/officeDocument/2006/relationships/image" Target="../media/1fb3c3b6_7e0e_11ed_a39b_047c1617b143_0d87f4e8_a593_11ee_a526_047c1617b14337.jpeg"/><Relationship Id="rId38" Type="http://schemas.openxmlformats.org/officeDocument/2006/relationships/image" Target="../media/1fb3c3b8_7e0e_11ed_a39b_047c1617b143_0d87f4ed_a593_11ee_a526_047c1617b14338.jpeg"/><Relationship Id="rId39" Type="http://schemas.openxmlformats.org/officeDocument/2006/relationships/image" Target="../media/1fb3c3ba_7e0e_11ed_a39b_047c1617b143_7331340e_a58b_11ee_a526_047c1617b14339.jpeg"/><Relationship Id="rId40" Type="http://schemas.openxmlformats.org/officeDocument/2006/relationships/image" Target="../media/1fb3c3bc_7e0e_11ed_a39b_047c1617b143_73313420_a58b_11ee_a526_047c1617b14340.jpeg"/><Relationship Id="rId41" Type="http://schemas.openxmlformats.org/officeDocument/2006/relationships/image" Target="../media/1fb3c3be_7e0e_11ed_a39b_047c1617b143_0d87f4c8_a593_11ee_a526_047c1617b14341.jpeg"/><Relationship Id="rId42" Type="http://schemas.openxmlformats.org/officeDocument/2006/relationships/image" Target="../media/1fb3c3c0_7e0e_11ed_a39b_047c1617b143_0d87f4d2_a593_11ee_a526_047c1617b14342.jpeg"/><Relationship Id="rId43" Type="http://schemas.openxmlformats.org/officeDocument/2006/relationships/image" Target="../media/1fb3c3c2_7e0e_11ed_a39b_047c1617b143_0d87f4dc_a593_11ee_a526_047c1617b14343.jpeg"/><Relationship Id="rId44" Type="http://schemas.openxmlformats.org/officeDocument/2006/relationships/image" Target="../media/1fb3c3c4_7e0e_11ed_a39b_047c1617b143_7331341d_a58b_11ee_a526_047c1617b14344.jpeg"/><Relationship Id="rId45" Type="http://schemas.openxmlformats.org/officeDocument/2006/relationships/image" Target="../media/1fb3c3c6_7e0e_11ed_a39b_047c1617b143_0d87f4c5_a593_11ee_a526_047c1617b14345.jpeg"/><Relationship Id="rId46" Type="http://schemas.openxmlformats.org/officeDocument/2006/relationships/image" Target="../media/1fb3c3c8_7e0e_11ed_a39b_047c1617b143_0d87f4cf_a593_11ee_a526_047c1617b14346.jpeg"/><Relationship Id="rId47" Type="http://schemas.openxmlformats.org/officeDocument/2006/relationships/image" Target="../media/1fb3c3ca_7e0e_11ed_a39b_047c1617b143_0d87f4d9_a593_11ee_a526_047c1617b14347.jpeg"/><Relationship Id="rId48" Type="http://schemas.openxmlformats.org/officeDocument/2006/relationships/image" Target="../media/1fb3c3cc_7e0e_11ed_a39b_047c1617b143_0d87f4e0_a593_11ee_a526_047c1617b14348.jpeg"/><Relationship Id="rId49" Type="http://schemas.openxmlformats.org/officeDocument/2006/relationships/image" Target="../media/1fb3c3ce_7e0e_11ed_a39b_047c1617b143_0d87f4e3_a593_11ee_a526_047c1617b14349.jpeg"/><Relationship Id="rId50" Type="http://schemas.openxmlformats.org/officeDocument/2006/relationships/image" Target="../media/1fb3c3d0_7e0e_11ed_a39b_047c1617b143_0d87f4ea_a593_11ee_a526_047c1617b14350.jpeg"/><Relationship Id="rId51" Type="http://schemas.openxmlformats.org/officeDocument/2006/relationships/image" Target="../media/1fb3c3d2_7e0e_11ed_a39b_047c1617b143_0d87f4ef_a593_11ee_a526_047c1617b14351.jpeg"/><Relationship Id="rId52" Type="http://schemas.openxmlformats.org/officeDocument/2006/relationships/image" Target="../media/1fb3c3d4_7e0e_11ed_a39b_047c1617b143_73313410_a58b_11ee_a526_047c1617b14352.jpeg"/><Relationship Id="rId53" Type="http://schemas.openxmlformats.org/officeDocument/2006/relationships/image" Target="../media/1fb3c3d6_7e0e_11ed_a39b_047c1617b143_73313413_a58b_11ee_a526_047c1617b14353.jpeg"/><Relationship Id="rId54" Type="http://schemas.openxmlformats.org/officeDocument/2006/relationships/image" Target="../media/1fb3c3d8_7e0e_11ed_a39b_047c1617b143_73313416_a58b_11ee_a526_047c1617b14354.jpeg"/><Relationship Id="rId55" Type="http://schemas.openxmlformats.org/officeDocument/2006/relationships/image" Target="../media/1fb3c3da_7e0e_11ed_a39b_047c1617b143_7331341e_a58b_11ee_a526_047c1617b14355.jpeg"/><Relationship Id="rId56" Type="http://schemas.openxmlformats.org/officeDocument/2006/relationships/image" Target="../media/1fb3c3dc_7e0e_11ed_a39b_047c1617b143_0d87f4c6_a593_11ee_a526_047c1617b14356.jpeg"/><Relationship Id="rId57" Type="http://schemas.openxmlformats.org/officeDocument/2006/relationships/image" Target="../media/1fb3c3de_7e0e_11ed_a39b_047c1617b143_0d87f4d0_a593_11ee_a526_047c1617b14357.jpeg"/><Relationship Id="rId58" Type="http://schemas.openxmlformats.org/officeDocument/2006/relationships/image" Target="../media/1fb3c3e0_7e0e_11ed_a39b_047c1617b143_0d87f4da_a593_11ee_a526_047c1617b14358.jpeg"/><Relationship Id="rId59" Type="http://schemas.openxmlformats.org/officeDocument/2006/relationships/image" Target="../media/1fb3c3e2_7e0e_11ed_a39b_047c1617b143_73313419_a58b_11ee_a526_047c1617b14359.jpeg"/><Relationship Id="rId60" Type="http://schemas.openxmlformats.org/officeDocument/2006/relationships/image" Target="../media/1fb3c3e4_7e0e_11ed_a39b_047c1617b143_73313423_a58b_11ee_a526_047c1617b14360.jpeg"/><Relationship Id="rId61" Type="http://schemas.openxmlformats.org/officeDocument/2006/relationships/image" Target="../media/1fb3c3e6_7e0e_11ed_a39b_047c1617b143_0d87f4cb_a593_11ee_a526_047c1617b14361.jpeg"/><Relationship Id="rId62" Type="http://schemas.openxmlformats.org/officeDocument/2006/relationships/image" Target="../media/1fb3c3e8_7e0e_11ed_a39b_047c1617b143_0d87f4d5_a593_11ee_a526_047c1617b14362.jpeg"/><Relationship Id="rId63" Type="http://schemas.openxmlformats.org/officeDocument/2006/relationships/image" Target="../media/1fb3c3ea_7e0e_11ed_a39b_047c1617b143_0d87f4de_a593_11ee_a526_047c1617b14363.jpeg"/><Relationship Id="rId64" Type="http://schemas.openxmlformats.org/officeDocument/2006/relationships/image" Target="../media/1fb3c3ec_7e0e_11ed_a39b_047c1617b143_0d87f4e6_a593_11ee_a526_047c1617b14364.jpeg"/><Relationship Id="rId65" Type="http://schemas.openxmlformats.org/officeDocument/2006/relationships/image" Target="../media/1fb3c3ee_7e0e_11ed_a39b_047c1617b143_0d87f4e7_a593_11ee_a526_047c1617b14365.jpeg"/><Relationship Id="rId66" Type="http://schemas.openxmlformats.org/officeDocument/2006/relationships/image" Target="../media/1fb3c3f0_7e0e_11ed_a39b_047c1617b143_0d87f4ec_a593_11ee_a526_047c1617b14366.jpeg"/><Relationship Id="rId67" Type="http://schemas.openxmlformats.org/officeDocument/2006/relationships/image" Target="../media/1fb3c3f2_7e0e_11ed_a39b_047c1617b143_7331340d_a58b_11ee_a526_047c1617b14367.jpeg"/><Relationship Id="rId68" Type="http://schemas.openxmlformats.org/officeDocument/2006/relationships/image" Target="../media/1fb3c3f4_7e0e_11ed_a39b_047c1617b143_7331341a_a58b_11ee_a526_047c1617b14368.jpeg"/><Relationship Id="rId69" Type="http://schemas.openxmlformats.org/officeDocument/2006/relationships/image" Target="../media/1fb3c3f6_7e0e_11ed_a39b_047c1617b143_73313424_a58b_11ee_a526_047c1617b14369.jpeg"/><Relationship Id="rId70" Type="http://schemas.openxmlformats.org/officeDocument/2006/relationships/image" Target="../media/1fb3c3f8_7e0e_11ed_a39b_047c1617b143_0d87f4cc_a593_11ee_a526_047c1617b14370.jpeg"/><Relationship Id="rId71" Type="http://schemas.openxmlformats.org/officeDocument/2006/relationships/image" Target="../media/1fb3c3fa_7e0e_11ed_a39b_047c1617b143_0d87f4d6_a593_11ee_a526_047c1617b14371.jpeg"/><Relationship Id="rId72" Type="http://schemas.openxmlformats.org/officeDocument/2006/relationships/image" Target="../media/50c7c6bb_86a5_11e9_8101_003048fd731b_17f7bcf0_a595_11ee_a526_047c1617b14372.jpeg"/><Relationship Id="rId73" Type="http://schemas.openxmlformats.org/officeDocument/2006/relationships/image" Target="../media/50c7c6bf_86a5_11e9_8101_003048fd731b_17f7bcf1_a595_11ee_a526_047c1617b14373.jpeg"/><Relationship Id="rId74" Type="http://schemas.openxmlformats.org/officeDocument/2006/relationships/image" Target="../media/50c7c6c3_86a5_11e9_8101_003048fd731b_17f7bcf2_a595_11ee_a526_047c1617b14374.jpeg"/><Relationship Id="rId75" Type="http://schemas.openxmlformats.org/officeDocument/2006/relationships/image" Target="../media/50c7c6c7_86a5_11e9_8101_003048fd731b_17f7bcf3_a595_11ee_a526_047c1617b14375.jpeg"/><Relationship Id="rId76" Type="http://schemas.openxmlformats.org/officeDocument/2006/relationships/image" Target="../media/50c7c6cb_86a5_11e9_8101_003048fd731b_17f7bcf4_a595_11ee_a526_047c1617b14376.jpeg"/><Relationship Id="rId77" Type="http://schemas.openxmlformats.org/officeDocument/2006/relationships/image" Target="../media/50c7c6cf_86a5_11e9_8101_003048fd731b_17f7bcf5_a595_11ee_a526_047c1617b14377.jpeg"/><Relationship Id="rId78" Type="http://schemas.openxmlformats.org/officeDocument/2006/relationships/image" Target="../media/50c7c6d3_86a5_11e9_8101_003048fd731b_17f7bcf6_a595_11ee_a526_047c1617b14378.jpeg"/><Relationship Id="rId79" Type="http://schemas.openxmlformats.org/officeDocument/2006/relationships/image" Target="../media/50c7c6d7_86a5_11e9_8101_003048fd731b_17f7bcf7_a595_11ee_a526_047c1617b14379.jpeg"/><Relationship Id="rId80" Type="http://schemas.openxmlformats.org/officeDocument/2006/relationships/image" Target="../media/50c7c6db_86a5_11e9_8101_003048fd731b_17f7bcf8_a595_11ee_a526_047c1617b14380.jpeg"/><Relationship Id="rId81" Type="http://schemas.openxmlformats.org/officeDocument/2006/relationships/image" Target="../media/50c7c6df_86a5_11e9_8101_003048fd731b_17f7bcf9_a595_11ee_a526_047c1617b14381.jpeg"/><Relationship Id="rId82" Type="http://schemas.openxmlformats.org/officeDocument/2006/relationships/image" Target="../media/50c7c6e3_86a5_11e9_8101_003048fd731b_17f7bcfa_a595_11ee_a526_047c1617b14382.jpeg"/><Relationship Id="rId83" Type="http://schemas.openxmlformats.org/officeDocument/2006/relationships/image" Target="../media/50c7c6e7_86a5_11e9_8101_003048fd731b_17f7bcfb_a595_11ee_a526_047c1617b14383.jpeg"/><Relationship Id="rId84" Type="http://schemas.openxmlformats.org/officeDocument/2006/relationships/image" Target="../media/50c7c6eb_86a5_11e9_8101_003048fd731b_17f7bcfc_a595_11ee_a526_047c1617b14384.jpeg"/><Relationship Id="rId85" Type="http://schemas.openxmlformats.org/officeDocument/2006/relationships/image" Target="../media/50c7c6ef_86a5_11e9_8101_003048fd731b_17f7bcfd_a595_11ee_a526_047c1617b14385.jpeg"/><Relationship Id="rId86" Type="http://schemas.openxmlformats.org/officeDocument/2006/relationships/image" Target="../media/50c7c6f3_86a5_11e9_8101_003048fd731b_17f7bcfe_a595_11ee_a526_047c1617b14386.jpeg"/><Relationship Id="rId87" Type="http://schemas.openxmlformats.org/officeDocument/2006/relationships/image" Target="../media/50c7c6f7_86a5_11e9_8101_003048fd731b_17f7bcff_a595_11ee_a526_047c1617b14387.jpeg"/><Relationship Id="rId88" Type="http://schemas.openxmlformats.org/officeDocument/2006/relationships/image" Target="../media/50c7c6fb_86a5_11e9_8101_003048fd731b_17f7bd00_a595_11ee_a526_047c1617b14388.jpeg"/><Relationship Id="rId89" Type="http://schemas.openxmlformats.org/officeDocument/2006/relationships/image" Target="../media/50c7c6ff_86a5_11e9_8101_003048fd731b_17f7bd01_a595_11ee_a526_047c1617b14389.jpeg"/><Relationship Id="rId90" Type="http://schemas.openxmlformats.org/officeDocument/2006/relationships/image" Target="../media/50c7c703_86a5_11e9_8101_003048fd731b_17f7bd02_a595_11ee_a526_047c1617b14390.jpeg"/><Relationship Id="rId91" Type="http://schemas.openxmlformats.org/officeDocument/2006/relationships/image" Target="../media/50c7c707_86a5_11e9_8101_003048fd731b_17f7bd03_a595_11ee_a526_047c1617b14391.jpeg"/><Relationship Id="rId92" Type="http://schemas.openxmlformats.org/officeDocument/2006/relationships/image" Target="../media/50c7c70b_86a5_11e9_8101_003048fd731b_17f7bd04_a595_11ee_a526_047c1617b14392.jpeg"/><Relationship Id="rId93" Type="http://schemas.openxmlformats.org/officeDocument/2006/relationships/image" Target="../media/50c7c70f_86a5_11e9_8101_003048fd731b_17f7bd05_a595_11ee_a526_047c1617b14393.jpeg"/><Relationship Id="rId94" Type="http://schemas.openxmlformats.org/officeDocument/2006/relationships/image" Target="../media/50c7c713_86a5_11e9_8101_003048fd731b_17f7bd06_a595_11ee_a526_047c1617b14394.jpeg"/><Relationship Id="rId95" Type="http://schemas.openxmlformats.org/officeDocument/2006/relationships/image" Target="../media/50c7c717_86a5_11e9_8101_003048fd731b_17f7bd07_a595_11ee_a526_047c1617b14395.jpeg"/><Relationship Id="rId96" Type="http://schemas.openxmlformats.org/officeDocument/2006/relationships/image" Target="../media/50c7c71b_86a5_11e9_8101_003048fd731b_17f7bd08_a595_11ee_a526_047c1617b14396.jpeg"/><Relationship Id="rId97" Type="http://schemas.openxmlformats.org/officeDocument/2006/relationships/image" Target="../media/50c7c71f_86a5_11e9_8101_003048fd731b_17f7bd09_a595_11ee_a526_047c1617b14397.jpeg"/><Relationship Id="rId98" Type="http://schemas.openxmlformats.org/officeDocument/2006/relationships/image" Target="../media/50c7c723_86a5_11e9_8101_003048fd731b_17f7bd0a_a595_11ee_a526_047c1617b14398.jpeg"/><Relationship Id="rId99" Type="http://schemas.openxmlformats.org/officeDocument/2006/relationships/image" Target="../media/50c7c727_86a5_11e9_8101_003048fd731b_17f7bd0b_a595_11ee_a526_047c1617b14399.jpeg"/><Relationship Id="rId100" Type="http://schemas.openxmlformats.org/officeDocument/2006/relationships/image" Target="../media/50c7c72b_86a5_11e9_8101_003048fd731b_17f7bd0c_a595_11ee_a526_047c1617b143100.jpeg"/><Relationship Id="rId101" Type="http://schemas.openxmlformats.org/officeDocument/2006/relationships/image" Target="../media/50c7c72f_86a5_11e9_8101_003048fd731b_17f7bd0d_a595_11ee_a526_047c1617b143101.jpeg"/><Relationship Id="rId102" Type="http://schemas.openxmlformats.org/officeDocument/2006/relationships/image" Target="../media/50c7c733_86a5_11e9_8101_003048fd731b_17f7bd0e_a595_11ee_a526_047c1617b143102.jpeg"/><Relationship Id="rId103" Type="http://schemas.openxmlformats.org/officeDocument/2006/relationships/image" Target="../media/50c7c737_86a5_11e9_8101_003048fd731b_17f7bd0f_a595_11ee_a526_047c1617b143103.jpeg"/><Relationship Id="rId104" Type="http://schemas.openxmlformats.org/officeDocument/2006/relationships/image" Target="../media/50c7c73b_86a5_11e9_8101_003048fd731b_17f7bd11_a595_11ee_a526_047c1617b143104.jpeg"/><Relationship Id="rId105" Type="http://schemas.openxmlformats.org/officeDocument/2006/relationships/image" Target="../media/50c7c73f_86a5_11e9_8101_003048fd731b_17f7bd12_a595_11ee_a526_047c1617b143105.jpeg"/><Relationship Id="rId106" Type="http://schemas.openxmlformats.org/officeDocument/2006/relationships/image" Target="../media/50c7c743_86a5_11e9_8101_003048fd731b_17f7bd13_a595_11ee_a526_047c1617b143106.jpeg"/><Relationship Id="rId107" Type="http://schemas.openxmlformats.org/officeDocument/2006/relationships/image" Target="../media/50c7c747_86a5_11e9_8101_003048fd731b_17f7bd14_a595_11ee_a526_047c1617b143107.jpeg"/><Relationship Id="rId108" Type="http://schemas.openxmlformats.org/officeDocument/2006/relationships/image" Target="../media/50c7c74b_86a5_11e9_8101_003048fd731b_17f7bd15_a595_11ee_a526_047c1617b143108.jpeg"/><Relationship Id="rId109" Type="http://schemas.openxmlformats.org/officeDocument/2006/relationships/image" Target="../media/50c7c74f_86a5_11e9_8101_003048fd731b_17f7bd16_a595_11ee_a526_047c1617b143109.jpeg"/><Relationship Id="rId110" Type="http://schemas.openxmlformats.org/officeDocument/2006/relationships/image" Target="../media/50c7c753_86a5_11e9_8101_003048fd731b_17f7bd17_a595_11ee_a526_047c1617b143110.jpeg"/><Relationship Id="rId111" Type="http://schemas.openxmlformats.org/officeDocument/2006/relationships/image" Target="../media/50c7c757_86a5_11e9_8101_003048fd731b_17f7bd18_a595_11ee_a526_047c1617b143111.jpeg"/><Relationship Id="rId112" Type="http://schemas.openxmlformats.org/officeDocument/2006/relationships/image" Target="../media/50c7c75b_86a5_11e9_8101_003048fd731b_17f7bd19_a595_11ee_a526_047c1617b143112.jpeg"/><Relationship Id="rId113" Type="http://schemas.openxmlformats.org/officeDocument/2006/relationships/image" Target="../media/6d083a3f_3466_11eb_81f3_003048fd731b_17f7bd1a_a595_11ee_a526_047c1617b143113.jpeg"/><Relationship Id="rId114" Type="http://schemas.openxmlformats.org/officeDocument/2006/relationships/image" Target="../media/70a47381_fea6_11ed_a44c_047c1617b143_444b1ba2_5a46_11f0_a775_047c1617b143114.jpeg"/><Relationship Id="rId115" Type="http://schemas.openxmlformats.org/officeDocument/2006/relationships/image" Target="../media/70a47383_fea6_11ed_a44c_047c1617b143_444b1ba3_5a46_11f0_a775_047c1617b143115.jpeg"/><Relationship Id="rId116" Type="http://schemas.openxmlformats.org/officeDocument/2006/relationships/image" Target="../media/70a47385_fea6_11ed_a44c_047c1617b143_444b1ba4_5a46_11f0_a775_047c1617b143116.jpeg"/><Relationship Id="rId117" Type="http://schemas.openxmlformats.org/officeDocument/2006/relationships/image" Target="../media/70a47387_fea6_11ed_a44c_047c1617b143_444b1ba5_5a46_11f0_a775_047c1617b143117.jpeg"/><Relationship Id="rId118" Type="http://schemas.openxmlformats.org/officeDocument/2006/relationships/image" Target="../media/70a47389_fea6_11ed_a44c_047c1617b143_444b1ba6_5a46_11f0_a775_047c1617b143118.jpeg"/><Relationship Id="rId119" Type="http://schemas.openxmlformats.org/officeDocument/2006/relationships/image" Target="../media/70a4738b_fea6_11ed_a44c_047c1617b143_444b1ba7_5a46_11f0_a775_047c1617b143119.jpeg"/><Relationship Id="rId120" Type="http://schemas.openxmlformats.org/officeDocument/2006/relationships/image" Target="../media/70a4738d_fea6_11ed_a44c_047c1617b143_cde2288b_f115_11ee_a58b_047c1617b143120.jpeg"/><Relationship Id="rId121" Type="http://schemas.openxmlformats.org/officeDocument/2006/relationships/image" Target="../media/70a4738f_fea6_11ed_a44c_047c1617b143_cde2288d_f115_11ee_a58b_047c1617b143121.jpeg"/><Relationship Id="rId122" Type="http://schemas.openxmlformats.org/officeDocument/2006/relationships/image" Target="../media/70a47391_fea6_11ed_a44c_047c1617b143_cde22877_f115_11ee_a58b_047c1617b143122.jpeg"/><Relationship Id="rId123" Type="http://schemas.openxmlformats.org/officeDocument/2006/relationships/image" Target="../media/70a47393_fea6_11ed_a44c_047c1617b143_444b1ba8_5a46_11f0_a775_047c1617b143123.jpeg"/><Relationship Id="rId124" Type="http://schemas.openxmlformats.org/officeDocument/2006/relationships/image" Target="../media/70a47395_fea6_11ed_a44c_047c1617b143_444b1ba9_5a46_11f0_a775_047c1617b143124.jpeg"/><Relationship Id="rId125" Type="http://schemas.openxmlformats.org/officeDocument/2006/relationships/image" Target="../media/70a47397_fea6_11ed_a44c_047c1617b143_444b1baa_5a46_11f0_a775_047c1617b143125.jpeg"/><Relationship Id="rId126" Type="http://schemas.openxmlformats.org/officeDocument/2006/relationships/image" Target="../media/70a47399_fea6_11ed_a44c_047c1617b143_444b1bab_5a46_11f0_a775_047c1617b143126.jpeg"/><Relationship Id="rId127" Type="http://schemas.openxmlformats.org/officeDocument/2006/relationships/image" Target="../media/70a4739b_fea6_11ed_a44c_047c1617b143_444b1bac_5a46_11f0_a775_047c1617b143127.jpeg"/><Relationship Id="rId128" Type="http://schemas.openxmlformats.org/officeDocument/2006/relationships/image" Target="../media/70a4739d_fea6_11ed_a44c_047c1617b143_444b1bad_5a46_11f0_a775_047c1617b143128.jpeg"/><Relationship Id="rId129" Type="http://schemas.openxmlformats.org/officeDocument/2006/relationships/image" Target="../media/70a4739f_fea6_11ed_a44c_047c1617b143_444b1bae_5a46_11f0_a775_047c1617b143129.jpeg"/><Relationship Id="rId130" Type="http://schemas.openxmlformats.org/officeDocument/2006/relationships/image" Target="../media/70a473a1_fea6_11ed_a44c_047c1617b143_cde2288c_f115_11ee_a58b_047c1617b143130.jpeg"/><Relationship Id="rId131" Type="http://schemas.openxmlformats.org/officeDocument/2006/relationships/image" Target="../media/70a473a3_fea6_11ed_a44c_047c1617b143_cde22876_f115_11ee_a58b_047c1617b143131.jpeg"/><Relationship Id="rId132" Type="http://schemas.openxmlformats.org/officeDocument/2006/relationships/image" Target="../media/70a473a5_fea6_11ed_a44c_047c1617b143_444b1baf_5a46_11f0_a775_047c1617b143132.jpeg"/><Relationship Id="rId133" Type="http://schemas.openxmlformats.org/officeDocument/2006/relationships/image" Target="../media/70a473a7_fea6_11ed_a44c_047c1617b143_444b1bb0_5a46_11f0_a775_047c1617b143133.jpeg"/><Relationship Id="rId134" Type="http://schemas.openxmlformats.org/officeDocument/2006/relationships/image" Target="../media/70a473a9_fea6_11ed_a44c_047c1617b143_444b1bb1_5a46_11f0_a775_047c1617b143134.jpeg"/><Relationship Id="rId135" Type="http://schemas.openxmlformats.org/officeDocument/2006/relationships/image" Target="../media/70a473ab_fea6_11ed_a44c_047c1617b143_444b1bb2_5a46_11f0_a775_047c1617b143135.jpeg"/><Relationship Id="rId136" Type="http://schemas.openxmlformats.org/officeDocument/2006/relationships/image" Target="../media/70a473ad_fea6_11ed_a44c_047c1617b143_444b1bb3_5a46_11f0_a775_047c1617b143136.jpeg"/><Relationship Id="rId137" Type="http://schemas.openxmlformats.org/officeDocument/2006/relationships/image" Target="../media/70a473af_fea6_11ed_a44c_047c1617b143_444b1bb4_5a46_11f0_a775_047c1617b143137.jpeg"/><Relationship Id="rId138" Type="http://schemas.openxmlformats.org/officeDocument/2006/relationships/image" Target="../media/1fb3c3fe_7e0e_11ed_a39b_047c1617b143_0d87f5c7_a593_11ee_a526_047c1617b143138.jpeg"/><Relationship Id="rId139" Type="http://schemas.openxmlformats.org/officeDocument/2006/relationships/image" Target="../media/1fb3c400_7e0e_11ed_a39b_047c1617b143_0d87f5c8_a593_11ee_a526_047c1617b143139.jpeg"/><Relationship Id="rId140" Type="http://schemas.openxmlformats.org/officeDocument/2006/relationships/image" Target="../media/1fb3c402_7e0e_11ed_a39b_047c1617b143_0d87f5c9_a593_11ee_a526_047c1617b143140.jpeg"/><Relationship Id="rId141" Type="http://schemas.openxmlformats.org/officeDocument/2006/relationships/image" Target="../media/1fb3c404_7e0e_11ed_a39b_047c1617b143_0d87f5ca_a593_11ee_a526_047c1617b143141.jpeg"/><Relationship Id="rId142" Type="http://schemas.openxmlformats.org/officeDocument/2006/relationships/image" Target="../media/1fb3c406_7e0e_11ed_a39b_047c1617b143_0d87f5cb_a593_11ee_a526_047c1617b143142.jpeg"/><Relationship Id="rId143" Type="http://schemas.openxmlformats.org/officeDocument/2006/relationships/image" Target="../media/1fb3c408_7e0e_11ed_a39b_047c1617b143_0d87f5cc_a593_11ee_a526_047c1617b143143.jpeg"/><Relationship Id="rId144" Type="http://schemas.openxmlformats.org/officeDocument/2006/relationships/image" Target="../media/1fb3c40a_7e0e_11ed_a39b_047c1617b143_0d87f5cd_a593_11ee_a526_047c1617b143144.jpeg"/><Relationship Id="rId145" Type="http://schemas.openxmlformats.org/officeDocument/2006/relationships/image" Target="../media/1fb3c40c_7e0e_11ed_a39b_047c1617b143_0d87f5ce_a593_11ee_a526_047c1617b143145.jpeg"/><Relationship Id="rId146" Type="http://schemas.openxmlformats.org/officeDocument/2006/relationships/image" Target="../media/1fb3c40e_7e0e_11ed_a39b_047c1617b143_0d87f5c4_a593_11ee_a526_047c1617b143146.jpeg"/><Relationship Id="rId147" Type="http://schemas.openxmlformats.org/officeDocument/2006/relationships/image" Target="../media/1fb3c410_7e0e_11ed_a39b_047c1617b143_0d87f5c5_a593_11ee_a526_047c1617b143147.jpeg"/><Relationship Id="rId148" Type="http://schemas.openxmlformats.org/officeDocument/2006/relationships/image" Target="../media/1fb3c412_7e0e_11ed_a39b_047c1617b143_0d87f5c6_a593_11ee_a526_047c1617b143148.jpeg"/><Relationship Id="rId149" Type="http://schemas.openxmlformats.org/officeDocument/2006/relationships/image" Target="../media/1fb3c414_7e0e_11ed_a39b_047c1617b143_0d87f583_a593_11ee_a526_047c1617b143149.jpeg"/><Relationship Id="rId150" Type="http://schemas.openxmlformats.org/officeDocument/2006/relationships/image" Target="../media/1fb3c416_7e0e_11ed_a39b_047c1617b143_0d87f584_a593_11ee_a526_047c1617b143150.jpeg"/><Relationship Id="rId151" Type="http://schemas.openxmlformats.org/officeDocument/2006/relationships/image" Target="../media/1fb3c418_7e0e_11ed_a39b_047c1617b143_0d87f585_a593_11ee_a526_047c1617b143151.jpeg"/><Relationship Id="rId152" Type="http://schemas.openxmlformats.org/officeDocument/2006/relationships/image" Target="../media/ddc671ba_7e0e_11ed_a39b_047c1617b143_0d87f586_a593_11ee_a526_047c1617b143152.jpeg"/><Relationship Id="rId153" Type="http://schemas.openxmlformats.org/officeDocument/2006/relationships/image" Target="../media/ddc671bc_7e0e_11ed_a39b_047c1617b143_0d87f587_a593_11ee_a526_047c1617b143153.jpeg"/><Relationship Id="rId154" Type="http://schemas.openxmlformats.org/officeDocument/2006/relationships/image" Target="../media/ddc671be_7e0e_11ed_a39b_047c1617b143_0d87f588_a593_11ee_a526_047c1617b143154.jpeg"/><Relationship Id="rId155" Type="http://schemas.openxmlformats.org/officeDocument/2006/relationships/image" Target="../media/ddc671c0_7e0e_11ed_a39b_047c1617b143_0d87f589_a593_11ee_a526_047c1617b143155.jpeg"/><Relationship Id="rId156" Type="http://schemas.openxmlformats.org/officeDocument/2006/relationships/image" Target="../media/ddc671c2_7e0e_11ed_a39b_047c1617b143_0d87f58a_a593_11ee_a526_047c1617b143156.jpeg"/><Relationship Id="rId157" Type="http://schemas.openxmlformats.org/officeDocument/2006/relationships/image" Target="../media/ddc671c4_7e0e_11ed_a39b_047c1617b143_0d87f58b_a593_11ee_a526_047c1617b143157.jpeg"/><Relationship Id="rId158" Type="http://schemas.openxmlformats.org/officeDocument/2006/relationships/image" Target="../media/ddc671c6_7e0e_11ed_a39b_047c1617b143_0d87f58c_a593_11ee_a526_047c1617b143158.jpeg"/><Relationship Id="rId159" Type="http://schemas.openxmlformats.org/officeDocument/2006/relationships/image" Target="../media/ddc671c8_7e0e_11ed_a39b_047c1617b143_0d87f58d_a593_11ee_a526_047c1617b143159.jpeg"/><Relationship Id="rId160" Type="http://schemas.openxmlformats.org/officeDocument/2006/relationships/image" Target="../media/ddc671ca_7e0e_11ed_a39b_047c1617b143_0d87f58e_a593_11ee_a526_047c1617b143160.jpeg"/><Relationship Id="rId161" Type="http://schemas.openxmlformats.org/officeDocument/2006/relationships/image" Target="../media/ddc671cc_7e0e_11ed_a39b_047c1617b143_0d87f58f_a593_11ee_a526_047c1617b143161.jpeg"/><Relationship Id="rId162" Type="http://schemas.openxmlformats.org/officeDocument/2006/relationships/image" Target="../media/ddc671ce_7e0e_11ed_a39b_047c1617b143_0d87f590_a593_11ee_a526_047c1617b143162.jpeg"/><Relationship Id="rId163" Type="http://schemas.openxmlformats.org/officeDocument/2006/relationships/image" Target="../media/ddc671d0_7e0e_11ed_a39b_047c1617b143_0d87f591_a593_11ee_a526_047c1617b143163.jpeg"/><Relationship Id="rId164" Type="http://schemas.openxmlformats.org/officeDocument/2006/relationships/image" Target="../media/ddc671d2_7e0e_11ed_a39b_047c1617b143_0d87f592_a593_11ee_a526_047c1617b143164.jpeg"/><Relationship Id="rId165" Type="http://schemas.openxmlformats.org/officeDocument/2006/relationships/image" Target="../media/ddc671d4_7e0e_11ed_a39b_047c1617b143_0d87f593_a593_11ee_a526_047c1617b143165.jpeg"/><Relationship Id="rId166" Type="http://schemas.openxmlformats.org/officeDocument/2006/relationships/image" Target="../media/ddc671d6_7e0e_11ed_a39b_047c1617b143_0d87f594_a593_11ee_a526_047c1617b143166.jpeg"/><Relationship Id="rId167" Type="http://schemas.openxmlformats.org/officeDocument/2006/relationships/image" Target="../media/ddc671d8_7e0e_11ed_a39b_047c1617b143_0d87f595_a593_11ee_a526_047c1617b143167.jpeg"/><Relationship Id="rId168" Type="http://schemas.openxmlformats.org/officeDocument/2006/relationships/image" Target="../media/ddc671da_7e0e_11ed_a39b_047c1617b143_0d87f596_a593_11ee_a526_047c1617b143168.jpeg"/><Relationship Id="rId169" Type="http://schemas.openxmlformats.org/officeDocument/2006/relationships/image" Target="../media/ddc671dc_7e0e_11ed_a39b_047c1617b143_0d87f597_a593_11ee_a526_047c1617b143169.jpeg"/><Relationship Id="rId170" Type="http://schemas.openxmlformats.org/officeDocument/2006/relationships/image" Target="../media/ddc671de_7e0e_11ed_a39b_047c1617b143_0d87f598_a593_11ee_a526_047c1617b143170.jpeg"/><Relationship Id="rId171" Type="http://schemas.openxmlformats.org/officeDocument/2006/relationships/image" Target="../media/ddc671e0_7e0e_11ed_a39b_047c1617b143_0d87f599_a593_11ee_a526_047c1617b143171.jpeg"/><Relationship Id="rId172" Type="http://schemas.openxmlformats.org/officeDocument/2006/relationships/image" Target="../media/ddc671e2_7e0e_11ed_a39b_047c1617b143_0d87f59a_a593_11ee_a526_047c1617b143172.jpeg"/><Relationship Id="rId173" Type="http://schemas.openxmlformats.org/officeDocument/2006/relationships/image" Target="../media/ddc671e4_7e0e_11ed_a39b_047c1617b143_0d87f57d_a593_11ee_a526_047c1617b143173.jpeg"/><Relationship Id="rId174" Type="http://schemas.openxmlformats.org/officeDocument/2006/relationships/image" Target="../media/ddc671e6_7e0e_11ed_a39b_047c1617b143_0d87f57e_a593_11ee_a526_047c1617b143174.jpeg"/><Relationship Id="rId175" Type="http://schemas.openxmlformats.org/officeDocument/2006/relationships/image" Target="../media/ddc671e8_7e0e_11ed_a39b_047c1617b143_0d87f57f_a593_11ee_a526_047c1617b143175.jpeg"/><Relationship Id="rId176" Type="http://schemas.openxmlformats.org/officeDocument/2006/relationships/image" Target="../media/ddc671ea_7e0e_11ed_a39b_047c1617b143_0d87f580_a593_11ee_a526_047c1617b143176.jpeg"/><Relationship Id="rId177" Type="http://schemas.openxmlformats.org/officeDocument/2006/relationships/image" Target="../media/ddc671ec_7e0e_11ed_a39b_047c1617b143_0d87f581_a593_11ee_a526_047c1617b143177.jpeg"/><Relationship Id="rId178" Type="http://schemas.openxmlformats.org/officeDocument/2006/relationships/image" Target="../media/ddc671ee_7e0e_11ed_a39b_047c1617b143_0d87f582_a593_11ee_a526_047c1617b143178.jpeg"/><Relationship Id="rId179" Type="http://schemas.openxmlformats.org/officeDocument/2006/relationships/image" Target="../media/ddc671f0_7e0e_11ed_a39b_047c1617b143_0d87f59c_a593_11ee_a526_047c1617b143179.jpeg"/><Relationship Id="rId180" Type="http://schemas.openxmlformats.org/officeDocument/2006/relationships/image" Target="../media/ddc671f2_7e0e_11ed_a39b_047c1617b143_0d87f59d_a593_11ee_a526_047c1617b143180.jpeg"/><Relationship Id="rId181" Type="http://schemas.openxmlformats.org/officeDocument/2006/relationships/image" Target="../media/ddc671f4_7e0e_11ed_a39b_047c1617b143_0d87f59e_a593_11ee_a526_047c1617b143181.jpeg"/><Relationship Id="rId182" Type="http://schemas.openxmlformats.org/officeDocument/2006/relationships/image" Target="../media/ddc671f6_7e0e_11ed_a39b_047c1617b143_0d87f59f_a593_11ee_a526_047c1617b143182.jpeg"/><Relationship Id="rId183" Type="http://schemas.openxmlformats.org/officeDocument/2006/relationships/image" Target="../media/ddc671f8_7e0e_11ed_a39b_047c1617b143_0d87f5a0_a593_11ee_a526_047c1617b143183.jpeg"/><Relationship Id="rId184" Type="http://schemas.openxmlformats.org/officeDocument/2006/relationships/image" Target="../media/ddc671fa_7e0e_11ed_a39b_047c1617b143_0d87f5a1_a593_11ee_a526_047c1617b143184.jpeg"/><Relationship Id="rId185" Type="http://schemas.openxmlformats.org/officeDocument/2006/relationships/image" Target="../media/ddc671fc_7e0e_11ed_a39b_047c1617b143_0d87f5a2_a593_11ee_a526_047c1617b143185.jpeg"/><Relationship Id="rId186" Type="http://schemas.openxmlformats.org/officeDocument/2006/relationships/image" Target="../media/ddc671fe_7e0e_11ed_a39b_047c1617b143_0d87f5a3_a593_11ee_a526_047c1617b143186.jpeg"/><Relationship Id="rId187" Type="http://schemas.openxmlformats.org/officeDocument/2006/relationships/image" Target="../media/ddc67200_7e0e_11ed_a39b_047c1617b143_0d87f5a4_a593_11ee_a526_047c1617b143187.jpeg"/><Relationship Id="rId188" Type="http://schemas.openxmlformats.org/officeDocument/2006/relationships/image" Target="../media/ddc67202_7e0e_11ed_a39b_047c1617b143_0d87f5a5_a593_11ee_a526_047c1617b143188.jpeg"/><Relationship Id="rId189" Type="http://schemas.openxmlformats.org/officeDocument/2006/relationships/image" Target="../media/ddc67204_7e0e_11ed_a39b_047c1617b143_0d87f5a6_a593_11ee_a526_047c1617b143189.jpeg"/><Relationship Id="rId190" Type="http://schemas.openxmlformats.org/officeDocument/2006/relationships/image" Target="../media/ddc67206_7e0e_11ed_a39b_047c1617b143_0d87f5a7_a593_11ee_a526_047c1617b143190.jpeg"/><Relationship Id="rId191" Type="http://schemas.openxmlformats.org/officeDocument/2006/relationships/image" Target="../media/ddc67208_7e0e_11ed_a39b_047c1617b143_0d87f5a8_a593_11ee_a526_047c1617b143191.jpeg"/><Relationship Id="rId192" Type="http://schemas.openxmlformats.org/officeDocument/2006/relationships/image" Target="../media/ddc6720a_7e0e_11ed_a39b_047c1617b143_0d87f5a9_a593_11ee_a526_047c1617b143192.jpeg"/><Relationship Id="rId193" Type="http://schemas.openxmlformats.org/officeDocument/2006/relationships/image" Target="../media/ddc6720c_7e0e_11ed_a39b_047c1617b143_0d87f5aa_a593_11ee_a526_047c1617b143193.jpeg"/><Relationship Id="rId194" Type="http://schemas.openxmlformats.org/officeDocument/2006/relationships/image" Target="../media/ddc6720e_7e0e_11ed_a39b_047c1617b143_0d87f5ab_a593_11ee_a526_047c1617b143194.jpeg"/><Relationship Id="rId195" Type="http://schemas.openxmlformats.org/officeDocument/2006/relationships/image" Target="../media/ddc67210_7e0e_11ed_a39b_047c1617b143_0d87f5ac_a593_11ee_a526_047c1617b143195.jpeg"/><Relationship Id="rId196" Type="http://schemas.openxmlformats.org/officeDocument/2006/relationships/image" Target="../media/ddc67212_7e0e_11ed_a39b_047c1617b143_0d87f5ad_a593_11ee_a526_047c1617b143196.jpeg"/><Relationship Id="rId197" Type="http://schemas.openxmlformats.org/officeDocument/2006/relationships/image" Target="../media/ddc67214_7e0e_11ed_a39b_047c1617b143_0d87f59b_a593_11ee_a526_047c1617b143197.jpeg"/><Relationship Id="rId198" Type="http://schemas.openxmlformats.org/officeDocument/2006/relationships/image" Target="../media/ddc67216_7e0e_11ed_a39b_047c1617b143_0d87f5b7_a593_11ee_a526_047c1617b143198.jpeg"/><Relationship Id="rId199" Type="http://schemas.openxmlformats.org/officeDocument/2006/relationships/image" Target="../media/ddc67218_7e0e_11ed_a39b_047c1617b143_0d87f5b8_a593_11ee_a526_047c1617b143199.jpeg"/><Relationship Id="rId200" Type="http://schemas.openxmlformats.org/officeDocument/2006/relationships/image" Target="../media/ddc6721a_7e0e_11ed_a39b_047c1617b143_0d87f5b9_a593_11ee_a526_047c1617b143200.jpeg"/><Relationship Id="rId201" Type="http://schemas.openxmlformats.org/officeDocument/2006/relationships/image" Target="../media/ddc6721c_7e0e_11ed_a39b_047c1617b143_0d87f5ba_a593_11ee_a526_047c1617b143201.jpeg"/><Relationship Id="rId202" Type="http://schemas.openxmlformats.org/officeDocument/2006/relationships/image" Target="../media/ddc6721e_7e0e_11ed_a39b_047c1617b143_0d87f5b4_a593_11ee_a526_047c1617b143202.jpeg"/><Relationship Id="rId203" Type="http://schemas.openxmlformats.org/officeDocument/2006/relationships/image" Target="../media/ddc67220_7e0e_11ed_a39b_047c1617b143_0d87f5b5_a593_11ee_a526_047c1617b143203.jpeg"/><Relationship Id="rId204" Type="http://schemas.openxmlformats.org/officeDocument/2006/relationships/image" Target="../media/ddc67222_7e0e_11ed_a39b_047c1617b143_0d87f5b6_a593_11ee_a526_047c1617b143204.jpeg"/><Relationship Id="rId205" Type="http://schemas.openxmlformats.org/officeDocument/2006/relationships/image" Target="../media/ddc67224_7e0e_11ed_a39b_047c1617b143_0d87f554_a593_11ee_a526_047c1617b143205.jpeg"/><Relationship Id="rId206" Type="http://schemas.openxmlformats.org/officeDocument/2006/relationships/image" Target="../media/ddc67226_7e0e_11ed_a39b_047c1617b143_0d87f555_a593_11ee_a526_047c1617b143206.jpeg"/><Relationship Id="rId207" Type="http://schemas.openxmlformats.org/officeDocument/2006/relationships/image" Target="../media/ddc67228_7e0e_11ed_a39b_047c1617b143_0d87f556_a593_11ee_a526_047c1617b143207.jpeg"/><Relationship Id="rId208" Type="http://schemas.openxmlformats.org/officeDocument/2006/relationships/image" Target="../media/ddc6722a_7e0e_11ed_a39b_047c1617b143_0d87f557_a593_11ee_a526_047c1617b143208.jpeg"/><Relationship Id="rId209" Type="http://schemas.openxmlformats.org/officeDocument/2006/relationships/image" Target="../media/ddc6722c_7e0e_11ed_a39b_047c1617b143_0d87f55a_a593_11ee_a526_047c1617b143209.jpeg"/><Relationship Id="rId210" Type="http://schemas.openxmlformats.org/officeDocument/2006/relationships/image" Target="../media/ddc6722e_7e0e_11ed_a39b_047c1617b143_0d87f55b_a593_11ee_a526_047c1617b143210.jpeg"/><Relationship Id="rId211" Type="http://schemas.openxmlformats.org/officeDocument/2006/relationships/image" Target="../media/ddc67230_7e0e_11ed_a39b_047c1617b143_0d87f558_a593_11ee_a526_047c1617b143211.jpeg"/><Relationship Id="rId212" Type="http://schemas.openxmlformats.org/officeDocument/2006/relationships/image" Target="../media/ddc67232_7e0e_11ed_a39b_047c1617b143_0d87f563_a593_11ee_a526_047c1617b143212.jpeg"/><Relationship Id="rId213" Type="http://schemas.openxmlformats.org/officeDocument/2006/relationships/image" Target="../media/ddc67234_7e0e_11ed_a39b_047c1617b143_0d87f564_a593_11ee_a526_047c1617b143213.jpeg"/><Relationship Id="rId214" Type="http://schemas.openxmlformats.org/officeDocument/2006/relationships/image" Target="../media/ddc67236_7e0e_11ed_a39b_047c1617b143_0d87f565_a593_11ee_a526_047c1617b143214.jpeg"/><Relationship Id="rId215" Type="http://schemas.openxmlformats.org/officeDocument/2006/relationships/image" Target="../media/ddc67238_7e0e_11ed_a39b_047c1617b143_0d87f566_a593_11ee_a526_047c1617b143215.jpeg"/><Relationship Id="rId216" Type="http://schemas.openxmlformats.org/officeDocument/2006/relationships/image" Target="../media/ddc6723a_7e0e_11ed_a39b_047c1617b143_0d87f569_a593_11ee_a526_047c1617b143216.jpeg"/><Relationship Id="rId217" Type="http://schemas.openxmlformats.org/officeDocument/2006/relationships/image" Target="../media/ddc6723c_7e0e_11ed_a39b_047c1617b143_0d87f56a_a593_11ee_a526_047c1617b143217.jpeg"/><Relationship Id="rId218" Type="http://schemas.openxmlformats.org/officeDocument/2006/relationships/image" Target="../media/ddc6723e_7e0e_11ed_a39b_047c1617b143_0d87f567_a593_11ee_a526_047c1617b143218.jpeg"/><Relationship Id="rId219" Type="http://schemas.openxmlformats.org/officeDocument/2006/relationships/image" Target="../media/ddc67240_7e0e_11ed_a39b_047c1617b143_0d87f559_a593_11ee_a526_047c1617b143219.jpeg"/><Relationship Id="rId220" Type="http://schemas.openxmlformats.org/officeDocument/2006/relationships/image" Target="../media/ddc67242_7e0e_11ed_a39b_047c1617b143_0d87f55d_a593_11ee_a526_047c1617b143220.jpeg"/><Relationship Id="rId221" Type="http://schemas.openxmlformats.org/officeDocument/2006/relationships/image" Target="../media/ddc67244_7e0e_11ed_a39b_047c1617b143_0d87f55c_a593_11ee_a526_047c1617b143221.jpeg"/><Relationship Id="rId222" Type="http://schemas.openxmlformats.org/officeDocument/2006/relationships/image" Target="../media/ddc67246_7e0e_11ed_a39b_047c1617b143_0d87f55e_a593_11ee_a526_047c1617b143222.jpeg"/><Relationship Id="rId223" Type="http://schemas.openxmlformats.org/officeDocument/2006/relationships/image" Target="../media/ddc67248_7e0e_11ed_a39b_047c1617b143_0d87f55f_a593_11ee_a526_047c1617b143223.jpeg"/><Relationship Id="rId224" Type="http://schemas.openxmlformats.org/officeDocument/2006/relationships/image" Target="../media/ddc6724a_7e0e_11ed_a39b_047c1617b143_0d87f560_a593_11ee_a526_047c1617b143224.jpeg"/><Relationship Id="rId225" Type="http://schemas.openxmlformats.org/officeDocument/2006/relationships/image" Target="../media/ddc6724c_7e0e_11ed_a39b_047c1617b143_0d87f561_a593_11ee_a526_047c1617b143225.jpeg"/><Relationship Id="rId226" Type="http://schemas.openxmlformats.org/officeDocument/2006/relationships/image" Target="../media/ddc6724e_7e0e_11ed_a39b_047c1617b143_0d87f553_a593_11ee_a526_047c1617b143226.jpeg"/><Relationship Id="rId227" Type="http://schemas.openxmlformats.org/officeDocument/2006/relationships/image" Target="../media/ddc67250_7e0e_11ed_a39b_047c1617b143_0d87f568_a593_11ee_a526_047c1617b143227.jpeg"/><Relationship Id="rId228" Type="http://schemas.openxmlformats.org/officeDocument/2006/relationships/image" Target="../media/ddc67252_7e0e_11ed_a39b_047c1617b143_0d87f56c_a593_11ee_a526_047c1617b143228.jpeg"/><Relationship Id="rId229" Type="http://schemas.openxmlformats.org/officeDocument/2006/relationships/image" Target="../media/ddc67254_7e0e_11ed_a39b_047c1617b143_0d87f56b_a593_11ee_a526_047c1617b143229.jpeg"/><Relationship Id="rId230" Type="http://schemas.openxmlformats.org/officeDocument/2006/relationships/image" Target="../media/ddc67256_7e0e_11ed_a39b_047c1617b143_0d87f56d_a593_11ee_a526_047c1617b143230.jpeg"/><Relationship Id="rId231" Type="http://schemas.openxmlformats.org/officeDocument/2006/relationships/image" Target="../media/ddc67258_7e0e_11ed_a39b_047c1617b143_0d87f56e_a593_11ee_a526_047c1617b143231.jpeg"/><Relationship Id="rId232" Type="http://schemas.openxmlformats.org/officeDocument/2006/relationships/image" Target="../media/ddc6725a_7e0e_11ed_a39b_047c1617b143_0d87f56f_a593_11ee_a526_047c1617b143232.jpeg"/><Relationship Id="rId233" Type="http://schemas.openxmlformats.org/officeDocument/2006/relationships/image" Target="../media/ddc6725c_7e0e_11ed_a39b_047c1617b143_0d87f570_a593_11ee_a526_047c1617b143233.jpeg"/><Relationship Id="rId234" Type="http://schemas.openxmlformats.org/officeDocument/2006/relationships/image" Target="../media/ddc6725e_7e0e_11ed_a39b_047c1617b143_0d87f562_a593_11ee_a526_047c1617b143234.jpeg"/><Relationship Id="rId235" Type="http://schemas.openxmlformats.org/officeDocument/2006/relationships/image" Target="../media/ddc67260_7e0e_11ed_a39b_047c1617b143_5dcd87bb_5a46_11f0_a775_047c1617b143235.jpeg"/><Relationship Id="rId236" Type="http://schemas.openxmlformats.org/officeDocument/2006/relationships/image" Target="../media/ddc67262_7e0e_11ed_a39b_047c1617b143_5dcd87bc_5a46_11f0_a775_047c1617b143236.jpeg"/><Relationship Id="rId237" Type="http://schemas.openxmlformats.org/officeDocument/2006/relationships/image" Target="../media/ddc67264_7e0e_11ed_a39b_047c1617b143_5dcd87bd_5a46_11f0_a775_047c1617b143237.jpeg"/><Relationship Id="rId238" Type="http://schemas.openxmlformats.org/officeDocument/2006/relationships/image" Target="../media/ddc67266_7e0e_11ed_a39b_047c1617b143_5dcd87c7_5a46_11f0_a775_047c1617b143238.jpeg"/><Relationship Id="rId239" Type="http://schemas.openxmlformats.org/officeDocument/2006/relationships/image" Target="../media/ddc67268_7e0e_11ed_a39b_047c1617b143_5dcd87be_5a46_11f0_a775_047c1617b143239.jpeg"/><Relationship Id="rId240" Type="http://schemas.openxmlformats.org/officeDocument/2006/relationships/image" Target="../media/ddc6726a_7e0e_11ed_a39b_047c1617b143_5dcd87bf_5a46_11f0_a775_047c1617b143240.jpeg"/><Relationship Id="rId241" Type="http://schemas.openxmlformats.org/officeDocument/2006/relationships/image" Target="../media/ddc6726c_7e0e_11ed_a39b_047c1617b143_5dcd87c0_5a46_11f0_a775_047c1617b143241.jpeg"/><Relationship Id="rId242" Type="http://schemas.openxmlformats.org/officeDocument/2006/relationships/image" Target="../media/ddc6726e_7e0e_11ed_a39b_047c1617b143_5dcd87c1_5a46_11f0_a775_047c1617b143242.jpeg"/><Relationship Id="rId243" Type="http://schemas.openxmlformats.org/officeDocument/2006/relationships/image" Target="../media/ddc67270_7e0e_11ed_a39b_047c1617b143_5dcd87c2_5a46_11f0_a775_047c1617b143243.jpeg"/><Relationship Id="rId244" Type="http://schemas.openxmlformats.org/officeDocument/2006/relationships/image" Target="../media/ddc67272_7e0e_11ed_a39b_047c1617b143_5dcd87c3_5a46_11f0_a775_047c1617b143244.jpeg"/><Relationship Id="rId245" Type="http://schemas.openxmlformats.org/officeDocument/2006/relationships/image" Target="../media/ddc67274_7e0e_11ed_a39b_047c1617b143_5dcd87c4_5a46_11f0_a775_047c1617b143245.jpeg"/><Relationship Id="rId246" Type="http://schemas.openxmlformats.org/officeDocument/2006/relationships/image" Target="../media/ddc67276_7e0e_11ed_a39b_047c1617b143_5dcd87c5_5a46_11f0_a775_047c1617b143246.jpeg"/><Relationship Id="rId247" Type="http://schemas.openxmlformats.org/officeDocument/2006/relationships/image" Target="../media/ddc67278_7e0e_11ed_a39b_047c1617b143_5dcd87c6_5a46_11f0_a775_047c1617b143247.jpeg"/><Relationship Id="rId248" Type="http://schemas.openxmlformats.org/officeDocument/2006/relationships/image" Target="../media/ddc6727a_7e0e_11ed_a39b_047c1617b143_5dcd87c8_5a46_11f0_a775_047c1617b143248.jpeg"/><Relationship Id="rId249" Type="http://schemas.openxmlformats.org/officeDocument/2006/relationships/image" Target="../media/ddc6727c_7e0e_11ed_a39b_047c1617b143_5dcd87c9_5a46_11f0_a775_047c1617b143249.jpeg"/><Relationship Id="rId250" Type="http://schemas.openxmlformats.org/officeDocument/2006/relationships/image" Target="../media/ddc6727e_7e0e_11ed_a39b_047c1617b143_5dcd87ca_5a46_11f0_a775_047c1617b143250.jpeg"/><Relationship Id="rId251" Type="http://schemas.openxmlformats.org/officeDocument/2006/relationships/image" Target="../media/ddc67280_7e0e_11ed_a39b_047c1617b143_5dcd87d4_5a46_11f0_a775_047c1617b143251.jpeg"/><Relationship Id="rId252" Type="http://schemas.openxmlformats.org/officeDocument/2006/relationships/image" Target="../media/ddc67282_7e0e_11ed_a39b_047c1617b143_5dcd87cb_5a46_11f0_a775_047c1617b143252.jpeg"/><Relationship Id="rId253" Type="http://schemas.openxmlformats.org/officeDocument/2006/relationships/image" Target="../media/ddc67284_7e0e_11ed_a39b_047c1617b143_5dcd87cc_5a46_11f0_a775_047c1617b143253.jpeg"/><Relationship Id="rId254" Type="http://schemas.openxmlformats.org/officeDocument/2006/relationships/image" Target="../media/ddc67286_7e0e_11ed_a39b_047c1617b143_5dcd87cd_5a46_11f0_a775_047c1617b143254.jpeg"/><Relationship Id="rId255" Type="http://schemas.openxmlformats.org/officeDocument/2006/relationships/image" Target="../media/ddc67288_7e0e_11ed_a39b_047c1617b143_5dcd87ce_5a46_11f0_a775_047c1617b143255.jpeg"/><Relationship Id="rId256" Type="http://schemas.openxmlformats.org/officeDocument/2006/relationships/image" Target="../media/ddc6728a_7e0e_11ed_a39b_047c1617b143_5dcd87cf_5a46_11f0_a775_047c1617b143256.jpeg"/><Relationship Id="rId257" Type="http://schemas.openxmlformats.org/officeDocument/2006/relationships/image" Target="../media/ddc6728c_7e0e_11ed_a39b_047c1617b143_5dcd87d0_5a46_11f0_a775_047c1617b143257.jpeg"/><Relationship Id="rId258" Type="http://schemas.openxmlformats.org/officeDocument/2006/relationships/image" Target="../media/ddc6728e_7e0e_11ed_a39b_047c1617b143_5dcd87d1_5a46_11f0_a775_047c1617b143258.jpeg"/><Relationship Id="rId259" Type="http://schemas.openxmlformats.org/officeDocument/2006/relationships/image" Target="../media/ddc67290_7e0e_11ed_a39b_047c1617b143_5dcd87d2_5a46_11f0_a775_047c1617b143259.jpeg"/><Relationship Id="rId260" Type="http://schemas.openxmlformats.org/officeDocument/2006/relationships/image" Target="../media/ddc67292_7e0e_11ed_a39b_047c1617b143_5dcd87d3_5a46_11f0_a775_047c1617b143260.jpeg"/><Relationship Id="rId261" Type="http://schemas.openxmlformats.org/officeDocument/2006/relationships/image" Target="../media/ddc672ac_7e0e_11ed_a39b_047c1617b143_14190d43_a593_11ee_a526_047c1617b143261.jpeg"/><Relationship Id="rId262" Type="http://schemas.openxmlformats.org/officeDocument/2006/relationships/image" Target="../media/ddc672ae_7e0e_11ed_a39b_047c1617b143_14190d45_a593_11ee_a526_047c1617b143262.jpeg"/><Relationship Id="rId263" Type="http://schemas.openxmlformats.org/officeDocument/2006/relationships/image" Target="../media/ddc672b0_7e0e_11ed_a39b_047c1617b143_14190d41_a593_11ee_a526_047c1617b143263.jpeg"/><Relationship Id="rId264" Type="http://schemas.openxmlformats.org/officeDocument/2006/relationships/image" Target="../media/ddc672b2_7e0e_11ed_a39b_047c1617b143_14190d49_a593_11ee_a526_047c1617b143264.jpeg"/><Relationship Id="rId265" Type="http://schemas.openxmlformats.org/officeDocument/2006/relationships/image" Target="../media/ddc672b4_7e0e_11ed_a39b_047c1617b143_14190d4b_a593_11ee_a526_047c1617b143265.jpeg"/><Relationship Id="rId266" Type="http://schemas.openxmlformats.org/officeDocument/2006/relationships/image" Target="../media/ddc672b6_7e0e_11ed_a39b_047c1617b143_14190d47_a593_11ee_a526_047c1617b143266.jpeg"/><Relationship Id="rId267" Type="http://schemas.openxmlformats.org/officeDocument/2006/relationships/image" Target="../media/ddc672b8_7e0e_11ed_a39b_047c1617b143_14190d51_a593_11ee_a526_047c1617b143267.jpeg"/><Relationship Id="rId268" Type="http://schemas.openxmlformats.org/officeDocument/2006/relationships/image" Target="../media/ddc672ba_7e0e_11ed_a39b_047c1617b143_14190d4f_a593_11ee_a526_047c1617b143268.jpeg"/><Relationship Id="rId269" Type="http://schemas.openxmlformats.org/officeDocument/2006/relationships/image" Target="../media/ddc672bc_7e0e_11ed_a39b_047c1617b143_14190d4d_a593_11ee_a526_047c1617b143269.jpeg"/><Relationship Id="rId270" Type="http://schemas.openxmlformats.org/officeDocument/2006/relationships/image" Target="../media/ddc672be_7e0e_11ed_a39b_047c1617b143_14190d53_a593_11ee_a526_047c1617b143270.jpeg"/><Relationship Id="rId271" Type="http://schemas.openxmlformats.org/officeDocument/2006/relationships/image" Target="../media/ddc672c0_7e0e_11ed_a39b_047c1617b143_14190d55_a593_11ee_a526_047c1617b143271.jpeg"/><Relationship Id="rId272" Type="http://schemas.openxmlformats.org/officeDocument/2006/relationships/image" Target="../media/ddc672c2_7e0e_11ed_a39b_047c1617b143_14190d57_a593_11ee_a526_047c1617b143272.jpeg"/><Relationship Id="rId273" Type="http://schemas.openxmlformats.org/officeDocument/2006/relationships/image" Target="../media/ddc672c4_7e0e_11ed_a39b_047c1617b143_0d87f572_a593_11ee_a526_047c1617b143273.jpeg"/><Relationship Id="rId274" Type="http://schemas.openxmlformats.org/officeDocument/2006/relationships/image" Target="../media/ddc672c6_7e0e_11ed_a39b_047c1617b143_0d87f573_a593_11ee_a526_047c1617b143274.jpeg"/><Relationship Id="rId275" Type="http://schemas.openxmlformats.org/officeDocument/2006/relationships/image" Target="../media/ddc672c8_7e0e_11ed_a39b_047c1617b143_0d87f571_a593_11ee_a526_047c1617b143275.jpeg"/><Relationship Id="rId276" Type="http://schemas.openxmlformats.org/officeDocument/2006/relationships/image" Target="../media/ddc672ca_7e0e_11ed_a39b_047c1617b143_0d87f575_a593_11ee_a526_047c1617b143276.jpeg"/><Relationship Id="rId277" Type="http://schemas.openxmlformats.org/officeDocument/2006/relationships/image" Target="../media/ddc672cc_7e0e_11ed_a39b_047c1617b143_0d87f576_a593_11ee_a526_047c1617b143277.jpeg"/><Relationship Id="rId278" Type="http://schemas.openxmlformats.org/officeDocument/2006/relationships/image" Target="../media/ddc672ce_7e0e_11ed_a39b_047c1617b143_0d87f574_a593_11ee_a526_047c1617b143278.jpeg"/><Relationship Id="rId279" Type="http://schemas.openxmlformats.org/officeDocument/2006/relationships/image" Target="../media/ddc672d0_7e0e_11ed_a39b_047c1617b143_0d87f579_a593_11ee_a526_047c1617b143279.jpeg"/><Relationship Id="rId280" Type="http://schemas.openxmlformats.org/officeDocument/2006/relationships/image" Target="../media/ddc672d2_7e0e_11ed_a39b_047c1617b143_0d87f578_a593_11ee_a526_047c1617b143280.jpeg"/><Relationship Id="rId281" Type="http://schemas.openxmlformats.org/officeDocument/2006/relationships/image" Target="../media/ddc672d4_7e0e_11ed_a39b_047c1617b143_0d87f577_a593_11ee_a526_047c1617b143281.jpeg"/><Relationship Id="rId282" Type="http://schemas.openxmlformats.org/officeDocument/2006/relationships/image" Target="../media/ddc672d6_7e0e_11ed_a39b_047c1617b143_0d87f57a_a593_11ee_a526_047c1617b143282.jpeg"/><Relationship Id="rId283" Type="http://schemas.openxmlformats.org/officeDocument/2006/relationships/image" Target="../media/ddc672d8_7e0e_11ed_a39b_047c1617b143_0d87f57b_a593_11ee_a526_047c1617b143283.jpeg"/><Relationship Id="rId284" Type="http://schemas.openxmlformats.org/officeDocument/2006/relationships/image" Target="../media/ddc672da_7e0e_11ed_a39b_047c1617b143_0d87f57c_a593_11ee_a526_047c1617b143284.jpeg"/><Relationship Id="rId285" Type="http://schemas.openxmlformats.org/officeDocument/2006/relationships/image" Target="../media/ddc672dc_7e0e_11ed_a39b_047c1617b143_0d87f5ae_a593_11ee_a526_047c1617b143285.jpeg"/><Relationship Id="rId286" Type="http://schemas.openxmlformats.org/officeDocument/2006/relationships/image" Target="../media/ddc672de_7e0e_11ed_a39b_047c1617b143_0d87f5af_a593_11ee_a526_047c1617b143286.jpeg"/><Relationship Id="rId287" Type="http://schemas.openxmlformats.org/officeDocument/2006/relationships/image" Target="../media/ddc672e0_7e0e_11ed_a39b_047c1617b143_0d87f5b0_a593_11ee_a526_047c1617b143287.jpeg"/><Relationship Id="rId288" Type="http://schemas.openxmlformats.org/officeDocument/2006/relationships/image" Target="../media/ddc672e2_7e0e_11ed_a39b_047c1617b143_0d87f5b1_a593_11ee_a526_047c1617b143288.jpeg"/><Relationship Id="rId289" Type="http://schemas.openxmlformats.org/officeDocument/2006/relationships/image" Target="../media/ddc672e4_7e0e_11ed_a39b_047c1617b143_0d87f5b2_a593_11ee_a526_047c1617b143289.jpeg"/><Relationship Id="rId290" Type="http://schemas.openxmlformats.org/officeDocument/2006/relationships/image" Target="../media/ddc672e6_7e0e_11ed_a39b_047c1617b143_0d87f5b3_a593_11ee_a526_047c1617b143290.jpeg"/><Relationship Id="rId291" Type="http://schemas.openxmlformats.org/officeDocument/2006/relationships/image" Target="../media/ddc672e8_7e0e_11ed_a39b_047c1617b143_0d87f5bc_a593_11ee_a526_047c1617b143291.jpeg"/><Relationship Id="rId292" Type="http://schemas.openxmlformats.org/officeDocument/2006/relationships/image" Target="../media/ddc672ea_7e0e_11ed_a39b_047c1617b143_0d87f5be_a593_11ee_a526_047c1617b143292.jpeg"/><Relationship Id="rId293" Type="http://schemas.openxmlformats.org/officeDocument/2006/relationships/image" Target="../media/ddc672ec_7e0e_11ed_a39b_047c1617b143_0d87f5c1_a593_11ee_a526_047c1617b143293.jpeg"/><Relationship Id="rId294" Type="http://schemas.openxmlformats.org/officeDocument/2006/relationships/image" Target="../media/ddc672ee_7e0e_11ed_a39b_047c1617b143_0d87f5bf_a593_11ee_a526_047c1617b143294.jpeg"/><Relationship Id="rId295" Type="http://schemas.openxmlformats.org/officeDocument/2006/relationships/image" Target="../media/ddc672f0_7e0e_11ed_a39b_047c1617b143_0d87f5c3_a593_11ee_a526_047c1617b143295.jpeg"/><Relationship Id="rId296" Type="http://schemas.openxmlformats.org/officeDocument/2006/relationships/image" Target="../media/ddc672f2_7e0e_11ed_a39b_047c1617b143_0d87f5c2_a593_11ee_a526_047c1617b143296.jpeg"/><Relationship Id="rId297" Type="http://schemas.openxmlformats.org/officeDocument/2006/relationships/image" Target="../media/ddc672f4_7e0e_11ed_a39b_047c1617b143_0d87f5bb_a593_11ee_a526_047c1617b143297.jpeg"/><Relationship Id="rId298" Type="http://schemas.openxmlformats.org/officeDocument/2006/relationships/image" Target="../media/ddc672f6_7e0e_11ed_a39b_047c1617b143_0d87f5bd_a593_11ee_a526_047c1617b143298.jpeg"/><Relationship Id="rId299" Type="http://schemas.openxmlformats.org/officeDocument/2006/relationships/image" Target="../media/ddc672f8_7e0e_11ed_a39b_047c1617b143_0d87f5c0_a593_11ee_a526_047c1617b143299.jpeg"/><Relationship Id="rId300" Type="http://schemas.openxmlformats.org/officeDocument/2006/relationships/image" Target="../media/ddc672fa_7e0e_11ed_a39b_047c1617b143_14190d3a_a593_11ee_a526_047c1617b143300.jpeg"/><Relationship Id="rId301" Type="http://schemas.openxmlformats.org/officeDocument/2006/relationships/image" Target="../media/ddc672fc_7e0e_11ed_a39b_047c1617b143_14190d3b_a593_11ee_a526_047c1617b143301.jpeg"/><Relationship Id="rId302" Type="http://schemas.openxmlformats.org/officeDocument/2006/relationships/image" Target="../media/ddc672fe_7e0e_11ed_a39b_047c1617b143_14190d3d_a593_11ee_a526_047c1617b143302.jpeg"/><Relationship Id="rId303" Type="http://schemas.openxmlformats.org/officeDocument/2006/relationships/image" Target="../media/ddc67300_7e0e_11ed_a39b_047c1617b143_14190d3c_a593_11ee_a526_047c1617b143303.jpeg"/><Relationship Id="rId304" Type="http://schemas.openxmlformats.org/officeDocument/2006/relationships/image" Target="../media/ddc67302_7e0e_11ed_a39b_047c1617b143_14190d3e_a593_11ee_a526_047c1617b143304.jpeg"/><Relationship Id="rId305" Type="http://schemas.openxmlformats.org/officeDocument/2006/relationships/image" Target="../media/ddc67304_7e0e_11ed_a39b_047c1617b143_14190d5b_a593_11ee_a526_047c1617b143305.jpeg"/><Relationship Id="rId306" Type="http://schemas.openxmlformats.org/officeDocument/2006/relationships/image" Target="../media/ddc67306_7e0e_11ed_a39b_047c1617b143_14190d39_a593_11ee_a526_047c1617b143306.jpeg"/><Relationship Id="rId307" Type="http://schemas.openxmlformats.org/officeDocument/2006/relationships/image" Target="../media/ddc67308_7e0e_11ed_a39b_047c1617b143_0d87f634_a593_11ee_a526_047c1617b143307.jpeg"/><Relationship Id="rId308" Type="http://schemas.openxmlformats.org/officeDocument/2006/relationships/image" Target="../media/ddc6730a_7e0e_11ed_a39b_047c1617b143_0d87f636_a593_11ee_a526_047c1617b143308.jpeg"/><Relationship Id="rId309" Type="http://schemas.openxmlformats.org/officeDocument/2006/relationships/image" Target="../media/ddc6730c_7e0e_11ed_a39b_047c1617b143_0d87f638_a593_11ee_a526_047c1617b143309.jpeg"/><Relationship Id="rId310" Type="http://schemas.openxmlformats.org/officeDocument/2006/relationships/image" Target="../media/ddc6730e_7e0e_11ed_a39b_047c1617b143_0d87f63a_a593_11ee_a526_047c1617b143310.jpeg"/><Relationship Id="rId311" Type="http://schemas.openxmlformats.org/officeDocument/2006/relationships/image" Target="../media/ddc67310_7e0e_11ed_a39b_047c1617b143_0d87f63c_a593_11ee_a526_047c1617b143311.jpeg"/><Relationship Id="rId312" Type="http://schemas.openxmlformats.org/officeDocument/2006/relationships/image" Target="../media/ddc67312_7e0e_11ed_a39b_047c1617b143_0d87f63e_a593_11ee_a526_047c1617b143312.jpeg"/><Relationship Id="rId313" Type="http://schemas.openxmlformats.org/officeDocument/2006/relationships/image" Target="../media/ddc67314_7e0e_11ed_a39b_047c1617b143_0d87f640_a593_11ee_a526_047c1617b143313.jpeg"/><Relationship Id="rId314" Type="http://schemas.openxmlformats.org/officeDocument/2006/relationships/image" Target="../media/ddc67316_7e0e_11ed_a39b_047c1617b143_0d87f642_a593_11ee_a526_047c1617b143314.jpeg"/><Relationship Id="rId315" Type="http://schemas.openxmlformats.org/officeDocument/2006/relationships/image" Target="../media/ddc67318_7e0e_11ed_a39b_047c1617b143_0d87f62e_a593_11ee_a526_047c1617b143315.jpeg"/><Relationship Id="rId316" Type="http://schemas.openxmlformats.org/officeDocument/2006/relationships/image" Target="../media/ddc6731a_7e0e_11ed_a39b_047c1617b143_0d87f630_a593_11ee_a526_047c1617b143316.jpeg"/><Relationship Id="rId317" Type="http://schemas.openxmlformats.org/officeDocument/2006/relationships/image" Target="../media/ddc6731c_7e0e_11ed_a39b_047c1617b143_0d87f632_a593_11ee_a526_047c1617b143317.jpeg"/><Relationship Id="rId318" Type="http://schemas.openxmlformats.org/officeDocument/2006/relationships/image" Target="../media/ddc6731e_7e0e_11ed_a39b_047c1617b143_0d87f635_a593_11ee_a526_047c1617b143318.jpeg"/><Relationship Id="rId319" Type="http://schemas.openxmlformats.org/officeDocument/2006/relationships/image" Target="../media/ddc67320_7e0e_11ed_a39b_047c1617b143_0d87f637_a593_11ee_a526_047c1617b143319.jpeg"/><Relationship Id="rId320" Type="http://schemas.openxmlformats.org/officeDocument/2006/relationships/image" Target="../media/ddc67322_7e0e_11ed_a39b_047c1617b143_0d87f639_a593_11ee_a526_047c1617b143320.jpeg"/><Relationship Id="rId321" Type="http://schemas.openxmlformats.org/officeDocument/2006/relationships/image" Target="../media/ddc67324_7e0e_11ed_a39b_047c1617b143_0d87f63b_a593_11ee_a526_047c1617b143321.jpeg"/><Relationship Id="rId322" Type="http://schemas.openxmlformats.org/officeDocument/2006/relationships/image" Target="../media/ddc67326_7e0e_11ed_a39b_047c1617b143_0d87f63d_a593_11ee_a526_047c1617b143322.jpeg"/><Relationship Id="rId323" Type="http://schemas.openxmlformats.org/officeDocument/2006/relationships/image" Target="../media/ddc67328_7e0e_11ed_a39b_047c1617b143_0d87f63f_a593_11ee_a526_047c1617b143323.jpeg"/><Relationship Id="rId324" Type="http://schemas.openxmlformats.org/officeDocument/2006/relationships/image" Target="../media/ddc6732a_7e0e_11ed_a39b_047c1617b143_0d87f641_a593_11ee_a526_047c1617b143324.jpeg"/><Relationship Id="rId325" Type="http://schemas.openxmlformats.org/officeDocument/2006/relationships/image" Target="../media/ddc6732c_7e0e_11ed_a39b_047c1617b143_0d87f643_a593_11ee_a526_047c1617b143325.jpeg"/><Relationship Id="rId326" Type="http://schemas.openxmlformats.org/officeDocument/2006/relationships/image" Target="../media/ddc6732e_7e0e_11ed_a39b_047c1617b143_0d87f62f_a593_11ee_a526_047c1617b143326.jpeg"/><Relationship Id="rId327" Type="http://schemas.openxmlformats.org/officeDocument/2006/relationships/image" Target="../media/ddc67330_7e0e_11ed_a39b_047c1617b143_0d87f631_a593_11ee_a526_047c1617b143327.jpeg"/><Relationship Id="rId328" Type="http://schemas.openxmlformats.org/officeDocument/2006/relationships/image" Target="../media/ddc67332_7e0e_11ed_a39b_047c1617b143_0d87f633_a593_11ee_a526_047c1617b143328.jpeg"/><Relationship Id="rId329" Type="http://schemas.openxmlformats.org/officeDocument/2006/relationships/image" Target="../media/ddc67334_7e0e_11ed_a39b_047c1617b143_14190d1c_a593_11ee_a526_047c1617b143329.jpeg"/><Relationship Id="rId330" Type="http://schemas.openxmlformats.org/officeDocument/2006/relationships/image" Target="../media/ddc67336_7e0e_11ed_a39b_047c1617b143_14190d1e_a593_11ee_a526_047c1617b143330.jpeg"/><Relationship Id="rId331" Type="http://schemas.openxmlformats.org/officeDocument/2006/relationships/image" Target="../media/ddc67338_7e0e_11ed_a39b_047c1617b143_14190d20_a593_11ee_a526_047c1617b143331.jpeg"/><Relationship Id="rId332" Type="http://schemas.openxmlformats.org/officeDocument/2006/relationships/image" Target="../media/ddc6733a_7e0e_11ed_a39b_047c1617b143_14190d1a_a593_11ee_a526_047c1617b143332.jpeg"/><Relationship Id="rId333" Type="http://schemas.openxmlformats.org/officeDocument/2006/relationships/image" Target="../media/ddc6733c_7e0e_11ed_a39b_047c1617b143_14190d1b_a593_11ee_a526_047c1617b143333.jpeg"/><Relationship Id="rId334" Type="http://schemas.openxmlformats.org/officeDocument/2006/relationships/image" Target="../media/ddc6733e_7e0e_11ed_a39b_047c1617b143_14190d1d_a593_11ee_a526_047c1617b143334.jpeg"/><Relationship Id="rId335" Type="http://schemas.openxmlformats.org/officeDocument/2006/relationships/image" Target="../media/ddc67340_7e0e_11ed_a39b_047c1617b143_14190d1f_a593_11ee_a526_047c1617b143335.jpeg"/><Relationship Id="rId336" Type="http://schemas.openxmlformats.org/officeDocument/2006/relationships/image" Target="../media/ddc67342_7e0e_11ed_a39b_047c1617b143_14190d21_a593_11ee_a526_047c1617b143336.jpeg"/><Relationship Id="rId337" Type="http://schemas.openxmlformats.org/officeDocument/2006/relationships/image" Target="../media/ddc67344_7e0e_11ed_a39b_047c1617b143_0d87f644_a593_11ee_a526_047c1617b143337.jpeg"/><Relationship Id="rId338" Type="http://schemas.openxmlformats.org/officeDocument/2006/relationships/image" Target="../media/ddc67346_7e0e_11ed_a39b_047c1617b143_14190d08_a593_11ee_a526_047c1617b143338.jpeg"/><Relationship Id="rId339" Type="http://schemas.openxmlformats.org/officeDocument/2006/relationships/image" Target="../media/ddc67348_7e0e_11ed_a39b_047c1617b143_14190d09_a593_11ee_a526_047c1617b143339.jpeg"/><Relationship Id="rId340" Type="http://schemas.openxmlformats.org/officeDocument/2006/relationships/image" Target="../media/ddc6734a_7e0e_11ed_a39b_047c1617b143_14190d0b_a593_11ee_a526_047c1617b143340.jpeg"/><Relationship Id="rId341" Type="http://schemas.openxmlformats.org/officeDocument/2006/relationships/image" Target="../media/ddc6734c_7e0e_11ed_a39b_047c1617b143_14190d0e_a593_11ee_a526_047c1617b143341.jpeg"/><Relationship Id="rId342" Type="http://schemas.openxmlformats.org/officeDocument/2006/relationships/image" Target="../media/ddc6734e_7e0e_11ed_a39b_047c1617b143_14190d0f_a593_11ee_a526_047c1617b143342.jpeg"/><Relationship Id="rId343" Type="http://schemas.openxmlformats.org/officeDocument/2006/relationships/image" Target="../media/ddc67350_7e0e_11ed_a39b_047c1617b143_14190d0c_a593_11ee_a526_047c1617b143343.jpeg"/><Relationship Id="rId344" Type="http://schemas.openxmlformats.org/officeDocument/2006/relationships/image" Target="../media/ddc67352_7e0e_11ed_a39b_047c1617b143_14190d10_a593_11ee_a526_047c1617b143344.jpeg"/><Relationship Id="rId345" Type="http://schemas.openxmlformats.org/officeDocument/2006/relationships/image" Target="../media/ddc67354_7e0e_11ed_a39b_047c1617b143_14190d12_a593_11ee_a526_047c1617b143345.jpeg"/><Relationship Id="rId346" Type="http://schemas.openxmlformats.org/officeDocument/2006/relationships/image" Target="../media/ddc67356_7e0e_11ed_a39b_047c1617b143_14190d13_a593_11ee_a526_047c1617b143346.jpeg"/><Relationship Id="rId347" Type="http://schemas.openxmlformats.org/officeDocument/2006/relationships/image" Target="../media/ddc67358_7e0e_11ed_a39b_047c1617b143_14190d15_a593_11ee_a526_047c1617b143347.jpeg"/><Relationship Id="rId348" Type="http://schemas.openxmlformats.org/officeDocument/2006/relationships/image" Target="../media/ddc6735a_7e0e_11ed_a39b_047c1617b143_14190d18_a593_11ee_a526_047c1617b143348.jpeg"/><Relationship Id="rId349" Type="http://schemas.openxmlformats.org/officeDocument/2006/relationships/image" Target="../media/ddc6735c_7e0e_11ed_a39b_047c1617b143_14190d19_a593_11ee_a526_047c1617b143349.jpeg"/><Relationship Id="rId350" Type="http://schemas.openxmlformats.org/officeDocument/2006/relationships/image" Target="../media/ddc6735e_7e0e_11ed_a39b_047c1617b143_14190d16_a593_11ee_a526_047c1617b143350.jpeg"/><Relationship Id="rId351" Type="http://schemas.openxmlformats.org/officeDocument/2006/relationships/image" Target="../media/ddc67360_7e0e_11ed_a39b_047c1617b143_14190d0d_a593_11ee_a526_047c1617b143351.jpeg"/><Relationship Id="rId352" Type="http://schemas.openxmlformats.org/officeDocument/2006/relationships/image" Target="../media/ddc67362_7e0e_11ed_a39b_047c1617b143_14190d17_a593_11ee_a526_047c1617b143352.jpeg"/><Relationship Id="rId353" Type="http://schemas.openxmlformats.org/officeDocument/2006/relationships/image" Target="../media/ddc67364_7e0e_11ed_a39b_047c1617b143_14190d07_a593_11ee_a526_047c1617b143353.jpeg"/><Relationship Id="rId354" Type="http://schemas.openxmlformats.org/officeDocument/2006/relationships/image" Target="../media/ddc67366_7e0e_11ed_a39b_047c1617b143_14190d0a_a593_11ee_a526_047c1617b143354.jpeg"/><Relationship Id="rId355" Type="http://schemas.openxmlformats.org/officeDocument/2006/relationships/image" Target="../media/ddc67368_7e0e_11ed_a39b_047c1617b143_14190d59_a593_11ee_a526_047c1617b143355.jpeg"/><Relationship Id="rId356" Type="http://schemas.openxmlformats.org/officeDocument/2006/relationships/image" Target="../media/ddc6736a_7e0e_11ed_a39b_047c1617b143_14190d11_a593_11ee_a526_047c1617b143356.jpeg"/><Relationship Id="rId357" Type="http://schemas.openxmlformats.org/officeDocument/2006/relationships/image" Target="../media/ddc6736c_7e0e_11ed_a39b_047c1617b143_14190d14_a593_11ee_a526_047c1617b143357.jpeg"/><Relationship Id="rId358" Type="http://schemas.openxmlformats.org/officeDocument/2006/relationships/image" Target="../media/ddc6736e_7e0e_11ed_a39b_047c1617b143_0d87f54f_a593_11ee_a526_047c1617b143358.jpeg"/><Relationship Id="rId359" Type="http://schemas.openxmlformats.org/officeDocument/2006/relationships/image" Target="../media/ddc67370_7e0e_11ed_a39b_047c1617b143_0d87f550_a593_11ee_a526_047c1617b143359.jpeg"/><Relationship Id="rId360" Type="http://schemas.openxmlformats.org/officeDocument/2006/relationships/image" Target="../media/ddc67372_7e0e_11ed_a39b_047c1617b143_0d87f5da_a593_11ee_a526_047c1617b143360.jpeg"/><Relationship Id="rId361" Type="http://schemas.openxmlformats.org/officeDocument/2006/relationships/image" Target="../media/ddc67374_7e0e_11ed_a39b_047c1617b143_14190d22_a593_11ee_a526_047c1617b143361.jpeg"/><Relationship Id="rId362" Type="http://schemas.openxmlformats.org/officeDocument/2006/relationships/image" Target="../media/ddc67376_7e0e_11ed_a39b_047c1617b143_14190d23_a593_11ee_a526_047c1617b143362.jpeg"/><Relationship Id="rId363" Type="http://schemas.openxmlformats.org/officeDocument/2006/relationships/image" Target="../media/ddc67378_7e0e_11ed_a39b_047c1617b143_14190d25_a593_11ee_a526_047c1617b143363.jpeg"/><Relationship Id="rId364" Type="http://schemas.openxmlformats.org/officeDocument/2006/relationships/image" Target="../media/ddc6737a_7e0e_11ed_a39b_047c1617b143_14190d24_a593_11ee_a526_047c1617b143364.jpeg"/><Relationship Id="rId365" Type="http://schemas.openxmlformats.org/officeDocument/2006/relationships/image" Target="../media/ddc6737c_7e0e_11ed_a39b_047c1617b143_14190d27_a593_11ee_a526_047c1617b143365.jpeg"/><Relationship Id="rId366" Type="http://schemas.openxmlformats.org/officeDocument/2006/relationships/image" Target="../media/ddc6737e_7e0e_11ed_a39b_047c1617b143_14190d26_a593_11ee_a526_047c1617b143366.jpeg"/><Relationship Id="rId367" Type="http://schemas.openxmlformats.org/officeDocument/2006/relationships/image" Target="../media/ddc67380_7e0e_11ed_a39b_047c1617b143_0d87f5e8_a593_11ee_a526_047c1617b143367.jpeg"/><Relationship Id="rId368" Type="http://schemas.openxmlformats.org/officeDocument/2006/relationships/image" Target="../media/ddc67382_7e0e_11ed_a39b_047c1617b143_0d87f5ea_a593_11ee_a526_047c1617b143368.jpeg"/><Relationship Id="rId369" Type="http://schemas.openxmlformats.org/officeDocument/2006/relationships/image" Target="../media/ddc67384_7e0e_11ed_a39b_047c1617b143_0d87f5ee_a593_11ee_a526_047c1617b143369.jpeg"/><Relationship Id="rId370" Type="http://schemas.openxmlformats.org/officeDocument/2006/relationships/image" Target="../media/ddc67386_7e0e_11ed_a39b_047c1617b143_0d87f5f6_a593_11ee_a526_047c1617b143370.jpeg"/><Relationship Id="rId371" Type="http://schemas.openxmlformats.org/officeDocument/2006/relationships/image" Target="../media/ddc67388_7e0e_11ed_a39b_047c1617b143_0d87f5fc_a593_11ee_a526_047c1617b143371.jpeg"/><Relationship Id="rId372" Type="http://schemas.openxmlformats.org/officeDocument/2006/relationships/image" Target="../media/ddc6738a_7e0e_11ed_a39b_047c1617b143_0d87f607_a593_11ee_a526_047c1617b143372.jpeg"/><Relationship Id="rId373" Type="http://schemas.openxmlformats.org/officeDocument/2006/relationships/image" Target="../media/ddc6738c_7e0e_11ed_a39b_047c1617b143_0d87f60d_a593_11ee_a526_047c1617b143373.jpeg"/><Relationship Id="rId374" Type="http://schemas.openxmlformats.org/officeDocument/2006/relationships/image" Target="../media/ddc6738e_7e0e_11ed_a39b_047c1617b143_0d87f612_a593_11ee_a526_047c1617b143374.jpeg"/><Relationship Id="rId375" Type="http://schemas.openxmlformats.org/officeDocument/2006/relationships/image" Target="../media/ddc67390_7e0e_11ed_a39b_047c1617b143_0d87f5e0_a593_11ee_a526_047c1617b143375.jpeg"/><Relationship Id="rId376" Type="http://schemas.openxmlformats.org/officeDocument/2006/relationships/image" Target="../media/ddc67392_7e0e_11ed_a39b_047c1617b143_0d87f5e5_a593_11ee_a526_047c1617b143376.jpeg"/><Relationship Id="rId377" Type="http://schemas.openxmlformats.org/officeDocument/2006/relationships/image" Target="../media/ddc67394_7e0e_11ed_a39b_047c1617b143_0d87f5e6_a593_11ee_a526_047c1617b143377.jpeg"/><Relationship Id="rId378" Type="http://schemas.openxmlformats.org/officeDocument/2006/relationships/image" Target="../media/ddc67396_7e0e_11ed_a39b_047c1617b143_0d87f5e9_a593_11ee_a526_047c1617b143378.jpeg"/><Relationship Id="rId379" Type="http://schemas.openxmlformats.org/officeDocument/2006/relationships/image" Target="../media/ddc67398_7e0e_11ed_a39b_047c1617b143_0d87f5eb_a593_11ee_a526_047c1617b143379.jpeg"/><Relationship Id="rId380" Type="http://schemas.openxmlformats.org/officeDocument/2006/relationships/image" Target="../media/ddc6739a_7e0e_11ed_a39b_047c1617b143_0d87f5ec_a593_11ee_a526_047c1617b143380.jpeg"/><Relationship Id="rId381" Type="http://schemas.openxmlformats.org/officeDocument/2006/relationships/image" Target="../media/ddc6739c_7e0e_11ed_a39b_047c1617b143_0d87f5ed_a593_11ee_a526_047c1617b143381.jpeg"/><Relationship Id="rId382" Type="http://schemas.openxmlformats.org/officeDocument/2006/relationships/image" Target="../media/ddc6739e_7e0e_11ed_a39b_047c1617b143_0d87f5ef_a593_11ee_a526_047c1617b143382.jpeg"/><Relationship Id="rId383" Type="http://schemas.openxmlformats.org/officeDocument/2006/relationships/image" Target="../media/ddc673a0_7e0e_11ed_a39b_047c1617b143_0d87f5f0_a593_11ee_a526_047c1617b143383.jpeg"/><Relationship Id="rId384" Type="http://schemas.openxmlformats.org/officeDocument/2006/relationships/image" Target="../media/ddc673a2_7e0e_11ed_a39b_047c1617b143_0d87f5f1_a593_11ee_a526_047c1617b143384.jpeg"/><Relationship Id="rId385" Type="http://schemas.openxmlformats.org/officeDocument/2006/relationships/image" Target="../media/ddc673a4_7e0e_11ed_a39b_047c1617b143_0d87f5f2_a593_11ee_a526_047c1617b143385.jpeg"/><Relationship Id="rId386" Type="http://schemas.openxmlformats.org/officeDocument/2006/relationships/image" Target="../media/ddc673a6_7e0e_11ed_a39b_047c1617b143_0d87f5f3_a593_11ee_a526_047c1617b143386.jpeg"/><Relationship Id="rId387" Type="http://schemas.openxmlformats.org/officeDocument/2006/relationships/image" Target="../media/ddc673a8_7e0e_11ed_a39b_047c1617b143_0d87f5f4_a593_11ee_a526_047c1617b143387.jpeg"/><Relationship Id="rId388" Type="http://schemas.openxmlformats.org/officeDocument/2006/relationships/image" Target="../media/ddc673aa_7e0e_11ed_a39b_047c1617b143_0d87f5f5_a593_11ee_a526_047c1617b143388.jpeg"/><Relationship Id="rId389" Type="http://schemas.openxmlformats.org/officeDocument/2006/relationships/image" Target="../media/ddc673ac_7e0e_11ed_a39b_047c1617b143_0d87f5f7_a593_11ee_a526_047c1617b143389.jpeg"/><Relationship Id="rId390" Type="http://schemas.openxmlformats.org/officeDocument/2006/relationships/image" Target="../media/ddc673ae_7e0e_11ed_a39b_047c1617b143_0d87f5f8_a593_11ee_a526_047c1617b143390.jpeg"/><Relationship Id="rId391" Type="http://schemas.openxmlformats.org/officeDocument/2006/relationships/image" Target="../media/ddc673b0_7e0e_11ed_a39b_047c1617b143_0d87f5f9_a593_11ee_a526_047c1617b143391.jpeg"/><Relationship Id="rId392" Type="http://schemas.openxmlformats.org/officeDocument/2006/relationships/image" Target="../media/ddc673b2_7e0e_11ed_a39b_047c1617b143_0d87f5fa_a593_11ee_a526_047c1617b143392.jpeg"/><Relationship Id="rId393" Type="http://schemas.openxmlformats.org/officeDocument/2006/relationships/image" Target="../media/ddc673b4_7e0e_11ed_a39b_047c1617b143_0d87f5fb_a593_11ee_a526_047c1617b143393.jpeg"/><Relationship Id="rId394" Type="http://schemas.openxmlformats.org/officeDocument/2006/relationships/image" Target="../media/ddc673b6_7e0e_11ed_a39b_047c1617b143_0d87f5fd_a593_11ee_a526_047c1617b143394.jpeg"/><Relationship Id="rId395" Type="http://schemas.openxmlformats.org/officeDocument/2006/relationships/image" Target="../media/ddc673b8_7e0e_11ed_a39b_047c1617b143_0d87f5fe_a593_11ee_a526_047c1617b143395.jpeg"/><Relationship Id="rId396" Type="http://schemas.openxmlformats.org/officeDocument/2006/relationships/image" Target="../media/ddc673ba_7e0e_11ed_a39b_047c1617b143_0d87f5ff_a593_11ee_a526_047c1617b143396.jpeg"/><Relationship Id="rId397" Type="http://schemas.openxmlformats.org/officeDocument/2006/relationships/image" Target="../media/ddc673bc_7e0e_11ed_a39b_047c1617b143_0d87f600_a593_11ee_a526_047c1617b143397.jpeg"/><Relationship Id="rId398" Type="http://schemas.openxmlformats.org/officeDocument/2006/relationships/image" Target="../media/ddc673be_7e0e_11ed_a39b_047c1617b143_0d87f601_a593_11ee_a526_047c1617b143398.jpeg"/><Relationship Id="rId399" Type="http://schemas.openxmlformats.org/officeDocument/2006/relationships/image" Target="../media/ddc673c0_7e0e_11ed_a39b_047c1617b143_0d87f602_a593_11ee_a526_047c1617b143399.jpeg"/><Relationship Id="rId400" Type="http://schemas.openxmlformats.org/officeDocument/2006/relationships/image" Target="../media/ddc673c2_7e0e_11ed_a39b_047c1617b143_0d87f603_a593_11ee_a526_047c1617b143400.jpeg"/><Relationship Id="rId401" Type="http://schemas.openxmlformats.org/officeDocument/2006/relationships/image" Target="../media/ddc673c4_7e0e_11ed_a39b_047c1617b143_0d87f604_a593_11ee_a526_047c1617b143401.jpeg"/><Relationship Id="rId402" Type="http://schemas.openxmlformats.org/officeDocument/2006/relationships/image" Target="../media/ddc673c6_7e0e_11ed_a39b_047c1617b143_0d87f605_a593_11ee_a526_047c1617b143402.jpeg"/><Relationship Id="rId403" Type="http://schemas.openxmlformats.org/officeDocument/2006/relationships/image" Target="../media/ddc673c8_7e0e_11ed_a39b_047c1617b143_0d87f606_a593_11ee_a526_047c1617b143403.jpeg"/><Relationship Id="rId404" Type="http://schemas.openxmlformats.org/officeDocument/2006/relationships/image" Target="../media/ddc673ca_7e0e_11ed_a39b_047c1617b143_0d87f608_a593_11ee_a526_047c1617b143404.jpeg"/><Relationship Id="rId405" Type="http://schemas.openxmlformats.org/officeDocument/2006/relationships/image" Target="../media/ddc673cc_7e0e_11ed_a39b_047c1617b143_0d87f609_a593_11ee_a526_047c1617b143405.jpeg"/><Relationship Id="rId406" Type="http://schemas.openxmlformats.org/officeDocument/2006/relationships/image" Target="../media/ddc673ce_7e0e_11ed_a39b_047c1617b143_0d87f60a_a593_11ee_a526_047c1617b143406.jpeg"/><Relationship Id="rId407" Type="http://schemas.openxmlformats.org/officeDocument/2006/relationships/image" Target="../media/ddc673d0_7e0e_11ed_a39b_047c1617b143_0d87f60b_a593_11ee_a526_047c1617b143407.jpeg"/><Relationship Id="rId408" Type="http://schemas.openxmlformats.org/officeDocument/2006/relationships/image" Target="../media/ddc673d2_7e0e_11ed_a39b_047c1617b143_0d87f60c_a593_11ee_a526_047c1617b143408.jpeg"/><Relationship Id="rId409" Type="http://schemas.openxmlformats.org/officeDocument/2006/relationships/image" Target="../media/ddc673d4_7e0e_11ed_a39b_047c1617b143_0d87f60e_a593_11ee_a526_047c1617b143409.jpeg"/><Relationship Id="rId410" Type="http://schemas.openxmlformats.org/officeDocument/2006/relationships/image" Target="../media/ddc673d6_7e0e_11ed_a39b_047c1617b143_0d87f60f_a593_11ee_a526_047c1617b143410.jpeg"/><Relationship Id="rId411" Type="http://schemas.openxmlformats.org/officeDocument/2006/relationships/image" Target="../media/ddc673d8_7e0e_11ed_a39b_047c1617b143_0d87f610_a593_11ee_a526_047c1617b143411.jpeg"/><Relationship Id="rId412" Type="http://schemas.openxmlformats.org/officeDocument/2006/relationships/image" Target="../media/ddc673da_7e0e_11ed_a39b_047c1617b143_0d87f611_a593_11ee_a526_047c1617b143412.jpeg"/><Relationship Id="rId413" Type="http://schemas.openxmlformats.org/officeDocument/2006/relationships/image" Target="../media/ddc673dc_7e0e_11ed_a39b_047c1617b143_0d87f613_a593_11ee_a526_047c1617b143413.jpeg"/><Relationship Id="rId414" Type="http://schemas.openxmlformats.org/officeDocument/2006/relationships/image" Target="../media/ddc673de_7e0e_11ed_a39b_047c1617b143_0d87f614_a593_11ee_a526_047c1617b143414.jpeg"/><Relationship Id="rId415" Type="http://schemas.openxmlformats.org/officeDocument/2006/relationships/image" Target="../media/ddc673e0_7e0e_11ed_a39b_047c1617b143_0d87f615_a593_11ee_a526_047c1617b143415.jpeg"/><Relationship Id="rId416" Type="http://schemas.openxmlformats.org/officeDocument/2006/relationships/image" Target="../media/ddc673e2_7e0e_11ed_a39b_047c1617b143_0d87f616_a593_11ee_a526_047c1617b143416.jpeg"/><Relationship Id="rId417" Type="http://schemas.openxmlformats.org/officeDocument/2006/relationships/image" Target="../media/ddc673e4_7e0e_11ed_a39b_047c1617b143_0d87f617_a593_11ee_a526_047c1617b143417.jpeg"/><Relationship Id="rId418" Type="http://schemas.openxmlformats.org/officeDocument/2006/relationships/image" Target="../media/ddc673e6_7e0e_11ed_a39b_047c1617b143_0d87f5e1_a593_11ee_a526_047c1617b143418.jpeg"/><Relationship Id="rId419" Type="http://schemas.openxmlformats.org/officeDocument/2006/relationships/image" Target="../media/ddc673e8_7e0e_11ed_a39b_047c1617b143_0d87f5e2_a593_11ee_a526_047c1617b143419.jpeg"/><Relationship Id="rId420" Type="http://schemas.openxmlformats.org/officeDocument/2006/relationships/image" Target="../media/ddc673ea_7e0e_11ed_a39b_047c1617b143_0d87f5e3_a593_11ee_a526_047c1617b143420.jpeg"/><Relationship Id="rId421" Type="http://schemas.openxmlformats.org/officeDocument/2006/relationships/image" Target="../media/ddc673ec_7e0e_11ed_a39b_047c1617b143_0d87f5e4_a593_11ee_a526_047c1617b143421.jpeg"/><Relationship Id="rId422" Type="http://schemas.openxmlformats.org/officeDocument/2006/relationships/image" Target="../media/ddc673ee_7e0e_11ed_a39b_047c1617b143_0d87f5e7_a593_11ee_a526_047c1617b143422.jpeg"/><Relationship Id="rId423" Type="http://schemas.openxmlformats.org/officeDocument/2006/relationships/image" Target="../media/ddc673f0_7e0e_11ed_a39b_047c1617b143_0d87f618_a593_11ee_a526_047c1617b143423.jpeg"/><Relationship Id="rId424" Type="http://schemas.openxmlformats.org/officeDocument/2006/relationships/image" Target="../media/ddc673f2_7e0e_11ed_a39b_047c1617b143_0d87f619_a593_11ee_a526_047c1617b143424.jpeg"/><Relationship Id="rId425" Type="http://schemas.openxmlformats.org/officeDocument/2006/relationships/image" Target="../media/ddc673f4_7e0e_11ed_a39b_047c1617b143_0d87f61a_a593_11ee_a526_047c1617b143425.jpeg"/><Relationship Id="rId426" Type="http://schemas.openxmlformats.org/officeDocument/2006/relationships/image" Target="../media/ddc673f6_7e0e_11ed_a39b_047c1617b143_0d87f61b_a593_11ee_a526_047c1617b143426.jpeg"/><Relationship Id="rId427" Type="http://schemas.openxmlformats.org/officeDocument/2006/relationships/image" Target="../media/ddc673f8_7e0e_11ed_a39b_047c1617b143_0d87f61c_a593_11ee_a526_047c1617b143427.jpeg"/><Relationship Id="rId428" Type="http://schemas.openxmlformats.org/officeDocument/2006/relationships/image" Target="../media/e433b42a_7e0e_11ed_a39b_047c1617b143_0d87f61d_a593_11ee_a526_047c1617b143428.jpeg"/><Relationship Id="rId429" Type="http://schemas.openxmlformats.org/officeDocument/2006/relationships/image" Target="../media/e433b42c_7e0e_11ed_a39b_047c1617b143_0d87f61f_a593_11ee_a526_047c1617b143429.jpeg"/><Relationship Id="rId430" Type="http://schemas.openxmlformats.org/officeDocument/2006/relationships/image" Target="../media/e433b42e_7e0e_11ed_a39b_047c1617b143_0d87f620_a593_11ee_a526_047c1617b143430.jpeg"/><Relationship Id="rId431" Type="http://schemas.openxmlformats.org/officeDocument/2006/relationships/image" Target="../media/e433b430_7e0e_11ed_a39b_047c1617b143_0d87f61e_a593_11ee_a526_047c1617b143431.jpeg"/><Relationship Id="rId432" Type="http://schemas.openxmlformats.org/officeDocument/2006/relationships/image" Target="../media/e433b432_7e0e_11ed_a39b_047c1617b143_0d87f621_a593_11ee_a526_047c1617b143432.jpeg"/><Relationship Id="rId433" Type="http://schemas.openxmlformats.org/officeDocument/2006/relationships/image" Target="../media/e433b434_7e0e_11ed_a39b_047c1617b143_0d87f622_a593_11ee_a526_047c1617b143433.jpeg"/><Relationship Id="rId434" Type="http://schemas.openxmlformats.org/officeDocument/2006/relationships/image" Target="../media/e433b436_7e0e_11ed_a39b_047c1617b143_0d87f623_a593_11ee_a526_047c1617b143434.jpeg"/><Relationship Id="rId435" Type="http://schemas.openxmlformats.org/officeDocument/2006/relationships/image" Target="../media/e433b438_7e0e_11ed_a39b_047c1617b143_0d87f624_a593_11ee_a526_047c1617b143435.jpeg"/><Relationship Id="rId436" Type="http://schemas.openxmlformats.org/officeDocument/2006/relationships/image" Target="../media/e433b43a_7e0e_11ed_a39b_047c1617b143_0d87f626_a593_11ee_a526_047c1617b143436.jpeg"/><Relationship Id="rId437" Type="http://schemas.openxmlformats.org/officeDocument/2006/relationships/image" Target="../media/e433b43c_7e0e_11ed_a39b_047c1617b143_0d87f627_a593_11ee_a526_047c1617b143437.jpeg"/><Relationship Id="rId438" Type="http://schemas.openxmlformats.org/officeDocument/2006/relationships/image" Target="../media/e433b43e_7e0e_11ed_a39b_047c1617b143_0d87f625_a593_11ee_a526_047c1617b143438.jpeg"/><Relationship Id="rId439" Type="http://schemas.openxmlformats.org/officeDocument/2006/relationships/image" Target="../media/e433b440_7e0e_11ed_a39b_047c1617b143_0d87f628_a593_11ee_a526_047c1617b143439.jpeg"/><Relationship Id="rId440" Type="http://schemas.openxmlformats.org/officeDocument/2006/relationships/image" Target="../media/e433b442_7e0e_11ed_a39b_047c1617b143_0d87f629_a593_11ee_a526_047c1617b143440.jpeg"/><Relationship Id="rId441" Type="http://schemas.openxmlformats.org/officeDocument/2006/relationships/image" Target="../media/e433b444_7e0e_11ed_a39b_047c1617b143_0d87f62b_a593_11ee_a526_047c1617b143441.jpeg"/><Relationship Id="rId442" Type="http://schemas.openxmlformats.org/officeDocument/2006/relationships/image" Target="../media/e433b446_7e0e_11ed_a39b_047c1617b143_0d87f62a_a593_11ee_a526_047c1617b143442.jpeg"/><Relationship Id="rId443" Type="http://schemas.openxmlformats.org/officeDocument/2006/relationships/image" Target="../media/e433b448_7e0e_11ed_a39b_047c1617b143_0d87f62d_a593_11ee_a526_047c1617b143443.jpeg"/><Relationship Id="rId444" Type="http://schemas.openxmlformats.org/officeDocument/2006/relationships/image" Target="../media/e433b44a_7e0e_11ed_a39b_047c1617b143_0d87f62c_a593_11ee_a526_047c1617b143444.jpeg"/><Relationship Id="rId445" Type="http://schemas.openxmlformats.org/officeDocument/2006/relationships/image" Target="../media/e433b44c_7e0e_11ed_a39b_047c1617b143_0d87f5db_a593_11ee_a526_047c1617b143445.jpeg"/><Relationship Id="rId446" Type="http://schemas.openxmlformats.org/officeDocument/2006/relationships/image" Target="../media/e433b44e_7e0e_11ed_a39b_047c1617b143_0d87f4fe_a593_11ee_a526_047c1617b143446.jpeg"/><Relationship Id="rId447" Type="http://schemas.openxmlformats.org/officeDocument/2006/relationships/image" Target="../media/e433b450_7e0e_11ed_a39b_047c1617b143_0d87f4ff_a593_11ee_a526_047c1617b143447.jpeg"/><Relationship Id="rId448" Type="http://schemas.openxmlformats.org/officeDocument/2006/relationships/image" Target="../media/e433b452_7e0e_11ed_a39b_047c1617b143_0d87f500_a593_11ee_a526_047c1617b143448.jpeg"/><Relationship Id="rId449" Type="http://schemas.openxmlformats.org/officeDocument/2006/relationships/image" Target="../media/e433b454_7e0e_11ed_a39b_047c1617b143_0d87f501_a593_11ee_a526_047c1617b143449.jpeg"/><Relationship Id="rId450" Type="http://schemas.openxmlformats.org/officeDocument/2006/relationships/image" Target="../media/e433b456_7e0e_11ed_a39b_047c1617b143_0d87f502_a593_11ee_a526_047c1617b143450.jpeg"/><Relationship Id="rId451" Type="http://schemas.openxmlformats.org/officeDocument/2006/relationships/image" Target="../media/e433b458_7e0e_11ed_a39b_047c1617b143_0d87f503_a593_11ee_a526_047c1617b143451.jpeg"/><Relationship Id="rId452" Type="http://schemas.openxmlformats.org/officeDocument/2006/relationships/image" Target="../media/e433b45a_7e0e_11ed_a39b_047c1617b143_0d87f504_a593_11ee_a526_047c1617b143452.jpeg"/><Relationship Id="rId453" Type="http://schemas.openxmlformats.org/officeDocument/2006/relationships/image" Target="../media/e433b45c_7e0e_11ed_a39b_047c1617b143_0d87f505_a593_11ee_a526_047c1617b143453.jpeg"/><Relationship Id="rId454" Type="http://schemas.openxmlformats.org/officeDocument/2006/relationships/image" Target="../media/e433b45e_7e0e_11ed_a39b_047c1617b143_0d87f506_a593_11ee_a526_047c1617b143454.jpeg"/><Relationship Id="rId455" Type="http://schemas.openxmlformats.org/officeDocument/2006/relationships/image" Target="../media/e433b460_7e0e_11ed_a39b_047c1617b143_695c4619_11fe_11ef_a5b8_047c1617b143455.png"/><Relationship Id="rId456" Type="http://schemas.openxmlformats.org/officeDocument/2006/relationships/image" Target="../media/e433b462_7e0e_11ed_a39b_047c1617b143_695c461a_11fe_11ef_a5b8_047c1617b143456.png"/><Relationship Id="rId457" Type="http://schemas.openxmlformats.org/officeDocument/2006/relationships/image" Target="../media/e433b464_7e0e_11ed_a39b_047c1617b143_695c461b_11fe_11ef_a5b8_047c1617b143457.png"/><Relationship Id="rId458" Type="http://schemas.openxmlformats.org/officeDocument/2006/relationships/image" Target="../media/e433b466_7e0e_11ed_a39b_047c1617b143_695c461c_11fe_11ef_a5b8_047c1617b143458.png"/><Relationship Id="rId459" Type="http://schemas.openxmlformats.org/officeDocument/2006/relationships/image" Target="../media/e433b468_7e0e_11ed_a39b_047c1617b143_695c461f_11fe_11ef_a5b8_047c1617b143459.png"/><Relationship Id="rId460" Type="http://schemas.openxmlformats.org/officeDocument/2006/relationships/image" Target="../media/e433b46a_7e0e_11ed_a39b_047c1617b143_695c4620_11fe_11ef_a5b8_047c1617b143460.png"/><Relationship Id="rId461" Type="http://schemas.openxmlformats.org/officeDocument/2006/relationships/image" Target="../media/e433b46c_7e0e_11ed_a39b_047c1617b143_695c4621_11fe_11ef_a5b8_047c1617b143461.png"/><Relationship Id="rId462" Type="http://schemas.openxmlformats.org/officeDocument/2006/relationships/image" Target="../media/e433b46e_7e0e_11ed_a39b_047c1617b143_695c4622_11fe_11ef_a5b8_047c1617b143462.png"/><Relationship Id="rId463" Type="http://schemas.openxmlformats.org/officeDocument/2006/relationships/image" Target="../media/e433b470_7e0e_11ed_a39b_047c1617b143_695c4623_11fe_11ef_a5b8_047c1617b143463.png"/><Relationship Id="rId464" Type="http://schemas.openxmlformats.org/officeDocument/2006/relationships/image" Target="../media/e433b472_7e0e_11ed_a39b_047c1617b143_695c4624_11fe_11ef_a5b8_047c1617b143464.png"/><Relationship Id="rId465" Type="http://schemas.openxmlformats.org/officeDocument/2006/relationships/image" Target="../media/e433b474_7e0e_11ed_a39b_047c1617b143_695c4625_11fe_11ef_a5b8_047c1617b143465.jpeg"/><Relationship Id="rId466" Type="http://schemas.openxmlformats.org/officeDocument/2006/relationships/image" Target="../media/e433b476_7e0e_11ed_a39b_047c1617b143_695c4626_11fe_11ef_a5b8_047c1617b143466.jpeg"/><Relationship Id="rId467" Type="http://schemas.openxmlformats.org/officeDocument/2006/relationships/image" Target="../media/e433b478_7e0e_11ed_a39b_047c1617b143_695c4627_11fe_11ef_a5b8_047c1617b143467.jpeg"/><Relationship Id="rId468" Type="http://schemas.openxmlformats.org/officeDocument/2006/relationships/image" Target="../media/e433b47a_7e0e_11ed_a39b_047c1617b143_14190d35_a593_11ee_a526_047c1617b143468.jpeg"/><Relationship Id="rId469" Type="http://schemas.openxmlformats.org/officeDocument/2006/relationships/image" Target="../media/e433b47c_7e0e_11ed_a39b_047c1617b143_14190d36_a593_11ee_a526_047c1617b143469.jpeg"/><Relationship Id="rId470" Type="http://schemas.openxmlformats.org/officeDocument/2006/relationships/image" Target="../media/e433b47e_7e0e_11ed_a39b_047c1617b143_14190d37_a593_11ee_a526_047c1617b143470.jpeg"/><Relationship Id="rId471" Type="http://schemas.openxmlformats.org/officeDocument/2006/relationships/image" Target="../media/e433b480_7e0e_11ed_a39b_047c1617b143_14190d38_a593_11ee_a526_047c1617b143471.jpeg"/><Relationship Id="rId472" Type="http://schemas.openxmlformats.org/officeDocument/2006/relationships/image" Target="../media/e433b482_7e0e_11ed_a39b_047c1617b143_0d87f5d6_a593_11ee_a526_047c1617b143472.jpeg"/><Relationship Id="rId473" Type="http://schemas.openxmlformats.org/officeDocument/2006/relationships/image" Target="../media/e433b484_7e0e_11ed_a39b_047c1617b143_0d87f5d7_a593_11ee_a526_047c1617b143473.jpeg"/><Relationship Id="rId474" Type="http://schemas.openxmlformats.org/officeDocument/2006/relationships/image" Target="../media/e433b486_7e0e_11ed_a39b_047c1617b143_0d87f5d8_a593_11ee_a526_047c1617b143474.jpeg"/><Relationship Id="rId475" Type="http://schemas.openxmlformats.org/officeDocument/2006/relationships/image" Target="../media/e433b488_7e0e_11ed_a39b_047c1617b143_14190d28_a593_11ee_a526_047c1617b143475.jpeg"/><Relationship Id="rId476" Type="http://schemas.openxmlformats.org/officeDocument/2006/relationships/image" Target="../media/e433b48a_7e0e_11ed_a39b_047c1617b143_14190d2a_a593_11ee_a526_047c1617b143476.jpeg"/><Relationship Id="rId477" Type="http://schemas.openxmlformats.org/officeDocument/2006/relationships/image" Target="../media/e433b48c_7e0e_11ed_a39b_047c1617b143_14190d2c_a593_11ee_a526_047c1617b143477.jpeg"/><Relationship Id="rId478" Type="http://schemas.openxmlformats.org/officeDocument/2006/relationships/image" Target="../media/e433b48e_7e0e_11ed_a39b_047c1617b143_14190d29_a593_11ee_a526_047c1617b143478.jpeg"/><Relationship Id="rId479" Type="http://schemas.openxmlformats.org/officeDocument/2006/relationships/image" Target="../media/e433b490_7e0e_11ed_a39b_047c1617b143_14190d2b_a593_11ee_a526_047c1617b143479.jpeg"/><Relationship Id="rId480" Type="http://schemas.openxmlformats.org/officeDocument/2006/relationships/image" Target="../media/e433b492_7e0e_11ed_a39b_047c1617b143_14190d2d_a593_11ee_a526_047c1617b143480.jpeg"/><Relationship Id="rId481" Type="http://schemas.openxmlformats.org/officeDocument/2006/relationships/image" Target="../media/e433b494_7e0e_11ed_a39b_047c1617b143_14190d2e_a593_11ee_a526_047c1617b143481.jpeg"/><Relationship Id="rId482" Type="http://schemas.openxmlformats.org/officeDocument/2006/relationships/image" Target="../media/e433b496_7e0e_11ed_a39b_047c1617b143_0d87f524_a593_11ee_a526_047c1617b143482.jpeg"/><Relationship Id="rId483" Type="http://schemas.openxmlformats.org/officeDocument/2006/relationships/image" Target="../media/e433b498_7e0e_11ed_a39b_047c1617b143_0d87f525_a593_11ee_a526_047c1617b143483.jpeg"/><Relationship Id="rId484" Type="http://schemas.openxmlformats.org/officeDocument/2006/relationships/image" Target="../media/e433b49a_7e0e_11ed_a39b_047c1617b143_0d87f526_a593_11ee_a526_047c1617b143484.jpeg"/><Relationship Id="rId485" Type="http://schemas.openxmlformats.org/officeDocument/2006/relationships/image" Target="../media/e433b49c_7e0e_11ed_a39b_047c1617b143_0d87f527_a593_11ee_a526_047c1617b143485.jpeg"/><Relationship Id="rId486" Type="http://schemas.openxmlformats.org/officeDocument/2006/relationships/image" Target="../media/e433b49e_7e0e_11ed_a39b_047c1617b143_0d87f528_a593_11ee_a526_047c1617b143486.jpeg"/><Relationship Id="rId487" Type="http://schemas.openxmlformats.org/officeDocument/2006/relationships/image" Target="../media/e433b4a0_7e0e_11ed_a39b_047c1617b143_0d87f529_a593_11ee_a526_047c1617b143487.jpeg"/><Relationship Id="rId488" Type="http://schemas.openxmlformats.org/officeDocument/2006/relationships/image" Target="../media/e433b4a2_7e0e_11ed_a39b_047c1617b143_0d87f52a_a593_11ee_a526_047c1617b143488.jpeg"/><Relationship Id="rId489" Type="http://schemas.openxmlformats.org/officeDocument/2006/relationships/image" Target="../media/e433b4a4_7e0e_11ed_a39b_047c1617b143_0d87f5dc_a593_11ee_a526_047c1617b143489.jpeg"/><Relationship Id="rId490" Type="http://schemas.openxmlformats.org/officeDocument/2006/relationships/image" Target="../media/e433b4a6_7e0e_11ed_a39b_047c1617b143_0d87f5dd_a593_11ee_a526_047c1617b143490.jpeg"/><Relationship Id="rId491" Type="http://schemas.openxmlformats.org/officeDocument/2006/relationships/image" Target="../media/e433b4a8_7e0e_11ed_a39b_047c1617b143_0d87f5de_a593_11ee_a526_047c1617b143491.jpeg"/><Relationship Id="rId492" Type="http://schemas.openxmlformats.org/officeDocument/2006/relationships/image" Target="../media/e433b4aa_7e0e_11ed_a39b_047c1617b143_0d87f5df_a593_11ee_a526_047c1617b143492.jpeg"/><Relationship Id="rId493" Type="http://schemas.openxmlformats.org/officeDocument/2006/relationships/image" Target="../media/e433b4ac_7e0e_11ed_a39b_047c1617b143_0d87f545_a593_11ee_a526_047c1617b143493.jpeg"/><Relationship Id="rId494" Type="http://schemas.openxmlformats.org/officeDocument/2006/relationships/image" Target="../media/e433b4ae_7e0e_11ed_a39b_047c1617b143_0d87f548_a593_11ee_a526_047c1617b143494.jpeg"/><Relationship Id="rId495" Type="http://schemas.openxmlformats.org/officeDocument/2006/relationships/image" Target="../media/e433b4b0_7e0e_11ed_a39b_047c1617b143_0d87f549_a593_11ee_a526_047c1617b143495.jpeg"/><Relationship Id="rId496" Type="http://schemas.openxmlformats.org/officeDocument/2006/relationships/image" Target="../media/e433b4b2_7e0e_11ed_a39b_047c1617b143_0d87f54a_a593_11ee_a526_047c1617b143496.jpeg"/><Relationship Id="rId497" Type="http://schemas.openxmlformats.org/officeDocument/2006/relationships/image" Target="../media/e433b4b4_7e0e_11ed_a39b_047c1617b143_0d87f54b_a593_11ee_a526_047c1617b143497.jpeg"/><Relationship Id="rId498" Type="http://schemas.openxmlformats.org/officeDocument/2006/relationships/image" Target="../media/e433b4b6_7e0e_11ed_a39b_047c1617b143_0d87f54c_a593_11ee_a526_047c1617b143498.jpeg"/><Relationship Id="rId499" Type="http://schemas.openxmlformats.org/officeDocument/2006/relationships/image" Target="../media/e433b4b8_7e0e_11ed_a39b_047c1617b143_0d87f54d_a593_11ee_a526_047c1617b143499.jpeg"/><Relationship Id="rId500" Type="http://schemas.openxmlformats.org/officeDocument/2006/relationships/image" Target="../media/e433b4ba_7e0e_11ed_a39b_047c1617b143_0d87f54e_a593_11ee_a526_047c1617b143500.jpeg"/><Relationship Id="rId501" Type="http://schemas.openxmlformats.org/officeDocument/2006/relationships/image" Target="../media/e433b4bc_7e0e_11ed_a39b_047c1617b143_695c461e_11fe_11ef_a5b8_047c1617b143501.jpeg"/><Relationship Id="rId502" Type="http://schemas.openxmlformats.org/officeDocument/2006/relationships/image" Target="../media/e433b4be_7e0e_11ed_a39b_047c1617b143_0d87f546_a593_11ee_a526_047c1617b143502.jpeg"/><Relationship Id="rId503" Type="http://schemas.openxmlformats.org/officeDocument/2006/relationships/image" Target="../media/e433b4c0_7e0e_11ed_a39b_047c1617b143_14190d3f_a593_11ee_a526_047c1617b143503.jpeg"/><Relationship Id="rId504" Type="http://schemas.openxmlformats.org/officeDocument/2006/relationships/image" Target="../media/e433b4c2_7e0e_11ed_a39b_047c1617b143_0d87f547_a593_11ee_a526_047c1617b143504.jpeg"/><Relationship Id="rId505" Type="http://schemas.openxmlformats.org/officeDocument/2006/relationships/image" Target="../media/e433b4c4_7e0e_11ed_a39b_047c1617b143_0d87f513_a593_11ee_a526_047c1617b143505.jpeg"/><Relationship Id="rId506" Type="http://schemas.openxmlformats.org/officeDocument/2006/relationships/image" Target="../media/e433b4c6_7e0e_11ed_a39b_047c1617b143_0d87f515_a593_11ee_a526_047c1617b143506.jpeg"/><Relationship Id="rId507" Type="http://schemas.openxmlformats.org/officeDocument/2006/relationships/image" Target="../media/e433b4c8_7e0e_11ed_a39b_047c1617b143_0d87f517_a593_11ee_a526_047c1617b143507.jpeg"/><Relationship Id="rId508" Type="http://schemas.openxmlformats.org/officeDocument/2006/relationships/image" Target="../media/e433b4ca_7e0e_11ed_a39b_047c1617b143_0d87f519_a593_11ee_a526_047c1617b143508.jpeg"/><Relationship Id="rId509" Type="http://schemas.openxmlformats.org/officeDocument/2006/relationships/image" Target="../media/e433b4cc_7e0e_11ed_a39b_047c1617b143_0d87f51a_a593_11ee_a526_047c1617b143509.jpeg"/><Relationship Id="rId510" Type="http://schemas.openxmlformats.org/officeDocument/2006/relationships/image" Target="../media/e433b4ce_7e0e_11ed_a39b_047c1617b143_0d87f51b_a593_11ee_a526_047c1617b143510.jpeg"/><Relationship Id="rId511" Type="http://schemas.openxmlformats.org/officeDocument/2006/relationships/image" Target="../media/e433b4d0_7e0e_11ed_a39b_047c1617b143_0d87f51c_a593_11ee_a526_047c1617b143511.jpeg"/><Relationship Id="rId512" Type="http://schemas.openxmlformats.org/officeDocument/2006/relationships/image" Target="../media/e433b4d2_7e0e_11ed_a39b_047c1617b143_0d87f51d_a593_11ee_a526_047c1617b143512.jpeg"/><Relationship Id="rId513" Type="http://schemas.openxmlformats.org/officeDocument/2006/relationships/image" Target="../media/e433b4d4_7e0e_11ed_a39b_047c1617b143_0d87f510_a593_11ee_a526_047c1617b143513.jpeg"/><Relationship Id="rId514" Type="http://schemas.openxmlformats.org/officeDocument/2006/relationships/image" Target="../media/e433b4d6_7e0e_11ed_a39b_047c1617b143_0d87f511_a593_11ee_a526_047c1617b143514.jpeg"/><Relationship Id="rId515" Type="http://schemas.openxmlformats.org/officeDocument/2006/relationships/image" Target="../media/e433b4d8_7e0e_11ed_a39b_047c1617b143_0d87f512_a593_11ee_a526_047c1617b143515.jpeg"/><Relationship Id="rId516" Type="http://schemas.openxmlformats.org/officeDocument/2006/relationships/image" Target="../media/e433b4da_7e0e_11ed_a39b_047c1617b143_0d87f514_a593_11ee_a526_047c1617b143516.jpeg"/><Relationship Id="rId517" Type="http://schemas.openxmlformats.org/officeDocument/2006/relationships/image" Target="../media/e433b4dc_7e0e_11ed_a39b_047c1617b143_0d87f516_a593_11ee_a526_047c1617b143517.jpeg"/><Relationship Id="rId518" Type="http://schemas.openxmlformats.org/officeDocument/2006/relationships/image" Target="../media/e433b4de_7e0e_11ed_a39b_047c1617b143_0d87f518_a593_11ee_a526_047c1617b143518.jpeg"/><Relationship Id="rId519" Type="http://schemas.openxmlformats.org/officeDocument/2006/relationships/image" Target="../media/e433b4e0_7e0e_11ed_a39b_047c1617b143_5136e7ad_bf32_11ee_a548_047c1617b143519.jpeg"/><Relationship Id="rId520" Type="http://schemas.openxmlformats.org/officeDocument/2006/relationships/image" Target="../media/e433b4e2_7e0e_11ed_a39b_047c1617b143_5136e7ae_bf32_11ee_a548_047c1617b143520.jpeg"/><Relationship Id="rId521" Type="http://schemas.openxmlformats.org/officeDocument/2006/relationships/image" Target="../media/e433b4e4_7e0e_11ed_a39b_047c1617b143_5136e7af_bf32_11ee_a548_047c1617b143521.jpeg"/><Relationship Id="rId522" Type="http://schemas.openxmlformats.org/officeDocument/2006/relationships/image" Target="../media/e433b4e6_7e0e_11ed_a39b_047c1617b143_5136e7b0_bf32_11ee_a548_047c1617b143522.jpeg"/><Relationship Id="rId523" Type="http://schemas.openxmlformats.org/officeDocument/2006/relationships/image" Target="../media/e433b4e8_7e0e_11ed_a39b_047c1617b143_5136e7b1_bf32_11ee_a548_047c1617b143523.jpeg"/><Relationship Id="rId524" Type="http://schemas.openxmlformats.org/officeDocument/2006/relationships/image" Target="../media/e433b4ea_7e0e_11ed_a39b_047c1617b143_0d87f5cf_a593_11ee_a526_047c1617b143524.jpeg"/><Relationship Id="rId525" Type="http://schemas.openxmlformats.org/officeDocument/2006/relationships/image" Target="../media/e433b4ec_7e0e_11ed_a39b_047c1617b143_0d87f5d0_a593_11ee_a526_047c1617b143525.jpeg"/><Relationship Id="rId526" Type="http://schemas.openxmlformats.org/officeDocument/2006/relationships/image" Target="../media/e433b4ee_7e0e_11ed_a39b_047c1617b143_0d87f5d1_a593_11ee_a526_047c1617b143526.jpeg"/><Relationship Id="rId527" Type="http://schemas.openxmlformats.org/officeDocument/2006/relationships/image" Target="../media/e433b4f0_7e0e_11ed_a39b_047c1617b143_0d87f5d2_a593_11ee_a526_047c1617b143527.jpeg"/><Relationship Id="rId528" Type="http://schemas.openxmlformats.org/officeDocument/2006/relationships/image" Target="../media/e433b4f2_7e0e_11ed_a39b_047c1617b143_0d87f5d3_a593_11ee_a526_047c1617b143528.jpeg"/><Relationship Id="rId529" Type="http://schemas.openxmlformats.org/officeDocument/2006/relationships/image" Target="../media/e433b4f4_7e0e_11ed_a39b_047c1617b143_0d87f5d4_a593_11ee_a526_047c1617b143529.jpeg"/><Relationship Id="rId530" Type="http://schemas.openxmlformats.org/officeDocument/2006/relationships/image" Target="../media/e433b4f6_7e0e_11ed_a39b_047c1617b143_0d87f5d5_a593_11ee_a526_047c1617b143530.jpeg"/><Relationship Id="rId531" Type="http://schemas.openxmlformats.org/officeDocument/2006/relationships/image" Target="../media/e433b4f8_7e0e_11ed_a39b_047c1617b143_0d87f53d_a593_11ee_a526_047c1617b143531.jpeg"/><Relationship Id="rId532" Type="http://schemas.openxmlformats.org/officeDocument/2006/relationships/image" Target="../media/e433b4fa_7e0e_11ed_a39b_047c1617b143_0d87f53e_a593_11ee_a526_047c1617b143532.jpeg"/><Relationship Id="rId533" Type="http://schemas.openxmlformats.org/officeDocument/2006/relationships/image" Target="../media/e433b4fc_7e0e_11ed_a39b_047c1617b143_0d87f53f_a593_11ee_a526_047c1617b143533.jpeg"/><Relationship Id="rId534" Type="http://schemas.openxmlformats.org/officeDocument/2006/relationships/image" Target="../media/e433b4fe_7e0e_11ed_a39b_047c1617b143_0d87f540_a593_11ee_a526_047c1617b143534.jpeg"/><Relationship Id="rId535" Type="http://schemas.openxmlformats.org/officeDocument/2006/relationships/image" Target="../media/e433b500_7e0e_11ed_a39b_047c1617b143_0d87f541_a593_11ee_a526_047c1617b143535.jpeg"/><Relationship Id="rId536" Type="http://schemas.openxmlformats.org/officeDocument/2006/relationships/image" Target="../media/e433b502_7e0e_11ed_a39b_047c1617b143_0d87f542_a593_11ee_a526_047c1617b143536.jpeg"/><Relationship Id="rId537" Type="http://schemas.openxmlformats.org/officeDocument/2006/relationships/image" Target="../media/e433b504_7e0e_11ed_a39b_047c1617b143_0d87f543_a593_11ee_a526_047c1617b143537.jpeg"/><Relationship Id="rId538" Type="http://schemas.openxmlformats.org/officeDocument/2006/relationships/image" Target="../media/e433b506_7e0e_11ed_a39b_047c1617b143_0d87f544_a593_11ee_a526_047c1617b143538.jpeg"/><Relationship Id="rId539" Type="http://schemas.openxmlformats.org/officeDocument/2006/relationships/image" Target="../media/e433b508_7e0e_11ed_a39b_047c1617b143_0d87f4f4_a593_11ee_a526_047c1617b143539.jpeg"/><Relationship Id="rId540" Type="http://schemas.openxmlformats.org/officeDocument/2006/relationships/image" Target="../media/e433b50a_7e0e_11ed_a39b_047c1617b143_0d87f4f5_a593_11ee_a526_047c1617b143540.jpeg"/><Relationship Id="rId541" Type="http://schemas.openxmlformats.org/officeDocument/2006/relationships/image" Target="../media/e433b50c_7e0e_11ed_a39b_047c1617b143_0d87f4f6_a593_11ee_a526_047c1617b143541.jpeg"/><Relationship Id="rId542" Type="http://schemas.openxmlformats.org/officeDocument/2006/relationships/image" Target="../media/e433b50e_7e0e_11ed_a39b_047c1617b143_0d87f4f7_a593_11ee_a526_047c1617b143542.jpeg"/><Relationship Id="rId543" Type="http://schemas.openxmlformats.org/officeDocument/2006/relationships/image" Target="../media/e433b510_7e0e_11ed_a39b_047c1617b143_0d87f4f8_a593_11ee_a526_047c1617b143543.jpeg"/><Relationship Id="rId544" Type="http://schemas.openxmlformats.org/officeDocument/2006/relationships/image" Target="../media/e433b512_7e0e_11ed_a39b_047c1617b143_0d87f4f1_a593_11ee_a526_047c1617b143544.jpeg"/><Relationship Id="rId545" Type="http://schemas.openxmlformats.org/officeDocument/2006/relationships/image" Target="../media/e433b514_7e0e_11ed_a39b_047c1617b143_0d87f4f2_a593_11ee_a526_047c1617b143545.jpeg"/><Relationship Id="rId546" Type="http://schemas.openxmlformats.org/officeDocument/2006/relationships/image" Target="../media/e433b516_7e0e_11ed_a39b_047c1617b143_0d87f4f3_a593_11ee_a526_047c1617b143546.jpeg"/><Relationship Id="rId547" Type="http://schemas.openxmlformats.org/officeDocument/2006/relationships/image" Target="../media/e433b518_7e0e_11ed_a39b_047c1617b143_14190d30_a593_11ee_a526_047c1617b143547.jpeg"/><Relationship Id="rId548" Type="http://schemas.openxmlformats.org/officeDocument/2006/relationships/image" Target="../media/e433b51a_7e0e_11ed_a39b_047c1617b143_14190d31_a593_11ee_a526_047c1617b143548.jpeg"/><Relationship Id="rId549" Type="http://schemas.openxmlformats.org/officeDocument/2006/relationships/image" Target="../media/e433b51c_7e0e_11ed_a39b_047c1617b143_14190d32_a593_11ee_a526_047c1617b143549.jpeg"/><Relationship Id="rId550" Type="http://schemas.openxmlformats.org/officeDocument/2006/relationships/image" Target="../media/e433b51e_7e0e_11ed_a39b_047c1617b143_14190d33_a593_11ee_a526_047c1617b143550.jpeg"/><Relationship Id="rId551" Type="http://schemas.openxmlformats.org/officeDocument/2006/relationships/image" Target="../media/e433b520_7e0e_11ed_a39b_047c1617b143_14190d34_a593_11ee_a526_047c1617b143551.jpeg"/><Relationship Id="rId552" Type="http://schemas.openxmlformats.org/officeDocument/2006/relationships/image" Target="../media/e433b522_7e0e_11ed_a39b_047c1617b143_14190d2f_a593_11ee_a526_047c1617b143552.jpeg"/><Relationship Id="rId553" Type="http://schemas.openxmlformats.org/officeDocument/2006/relationships/image" Target="../media/e433b546_7e0e_11ed_a39b_047c1617b143_0d87f4f9_a593_11ee_a526_047c1617b143553.jpeg"/><Relationship Id="rId554" Type="http://schemas.openxmlformats.org/officeDocument/2006/relationships/image" Target="../media/e433b548_7e0e_11ed_a39b_047c1617b143_0d87f4fa_a593_11ee_a526_047c1617b143554.jpeg"/><Relationship Id="rId555" Type="http://schemas.openxmlformats.org/officeDocument/2006/relationships/image" Target="../media/e433b54a_7e0e_11ed_a39b_047c1617b143_0d87f4fb_a593_11ee_a526_047c1617b143555.jpeg"/><Relationship Id="rId556" Type="http://schemas.openxmlformats.org/officeDocument/2006/relationships/image" Target="../media/e433b54c_7e0e_11ed_a39b_047c1617b143_0d87f4fc_a593_11ee_a526_047c1617b143556.jpeg"/><Relationship Id="rId557" Type="http://schemas.openxmlformats.org/officeDocument/2006/relationships/image" Target="../media/e433b54e_7e0e_11ed_a39b_047c1617b143_0d87f4fd_a593_11ee_a526_047c1617b143557.jpeg"/><Relationship Id="rId558" Type="http://schemas.openxmlformats.org/officeDocument/2006/relationships/image" Target="../media/e433b550_7e0e_11ed_a39b_047c1617b143_0d87f507_a593_11ee_a526_047c1617b143558.jpeg"/><Relationship Id="rId559" Type="http://schemas.openxmlformats.org/officeDocument/2006/relationships/image" Target="../media/e433b552_7e0e_11ed_a39b_047c1617b143_0d87f508_a593_11ee_a526_047c1617b143559.jpeg"/><Relationship Id="rId560" Type="http://schemas.openxmlformats.org/officeDocument/2006/relationships/image" Target="../media/e433b554_7e0e_11ed_a39b_047c1617b143_0d87f509_a593_11ee_a526_047c1617b143560.jpeg"/><Relationship Id="rId561" Type="http://schemas.openxmlformats.org/officeDocument/2006/relationships/image" Target="../media/e433b556_7e0e_11ed_a39b_047c1617b143_0d87f50a_a593_11ee_a526_047c1617b143561.jpeg"/><Relationship Id="rId562" Type="http://schemas.openxmlformats.org/officeDocument/2006/relationships/image" Target="../media/e433b558_7e0e_11ed_a39b_047c1617b143_0d87f50b_a593_11ee_a526_047c1617b143562.jpeg"/><Relationship Id="rId563" Type="http://schemas.openxmlformats.org/officeDocument/2006/relationships/image" Target="../media/e433b55a_7e0e_11ed_a39b_047c1617b143_0d87f50c_a593_11ee_a526_047c1617b143563.jpeg"/><Relationship Id="rId564" Type="http://schemas.openxmlformats.org/officeDocument/2006/relationships/image" Target="../media/e433b55c_7e0e_11ed_a39b_047c1617b143_0d87f50d_a593_11ee_a526_047c1617b143564.jpeg"/><Relationship Id="rId565" Type="http://schemas.openxmlformats.org/officeDocument/2006/relationships/image" Target="../media/e433b55e_7e0e_11ed_a39b_047c1617b143_0d87f50e_a593_11ee_a526_047c1617b143565.jpeg"/><Relationship Id="rId566" Type="http://schemas.openxmlformats.org/officeDocument/2006/relationships/image" Target="../media/e433b560_7e0e_11ed_a39b_047c1617b143_0d87f50f_a593_11ee_a526_047c1617b143566.jpeg"/><Relationship Id="rId567" Type="http://schemas.openxmlformats.org/officeDocument/2006/relationships/image" Target="../media/e433b562_7e0e_11ed_a39b_047c1617b143_0d87f52e_a593_11ee_a526_047c1617b143567.jpeg"/><Relationship Id="rId568" Type="http://schemas.openxmlformats.org/officeDocument/2006/relationships/image" Target="../media/e433b564_7e0e_11ed_a39b_047c1617b143_0d87f52f_a593_11ee_a526_047c1617b143568.jpeg"/><Relationship Id="rId569" Type="http://schemas.openxmlformats.org/officeDocument/2006/relationships/image" Target="../media/e433b566_7e0e_11ed_a39b_047c1617b143_0d87f531_a593_11ee_a526_047c1617b143569.jpeg"/><Relationship Id="rId570" Type="http://schemas.openxmlformats.org/officeDocument/2006/relationships/image" Target="../media/e433b568_7e0e_11ed_a39b_047c1617b143_0d87f532_a593_11ee_a526_047c1617b143570.jpeg"/><Relationship Id="rId571" Type="http://schemas.openxmlformats.org/officeDocument/2006/relationships/image" Target="../media/e433b56a_7e0e_11ed_a39b_047c1617b143_0d87f535_a593_11ee_a526_047c1617b143571.jpeg"/><Relationship Id="rId572" Type="http://schemas.openxmlformats.org/officeDocument/2006/relationships/image" Target="../media/e433b56c_7e0e_11ed_a39b_047c1617b143_0d87f536_a593_11ee_a526_047c1617b143572.jpeg"/><Relationship Id="rId573" Type="http://schemas.openxmlformats.org/officeDocument/2006/relationships/image" Target="../media/e433b56e_7e0e_11ed_a39b_047c1617b143_0d87f539_a593_11ee_a526_047c1617b143573.jpeg"/><Relationship Id="rId574" Type="http://schemas.openxmlformats.org/officeDocument/2006/relationships/image" Target="../media/e433b570_7e0e_11ed_a39b_047c1617b143_695c461d_11fe_11ef_a5b8_047c1617b143574.png"/><Relationship Id="rId575" Type="http://schemas.openxmlformats.org/officeDocument/2006/relationships/image" Target="../media/e433b572_7e0e_11ed_a39b_047c1617b143_0d87f53b_a593_11ee_a526_047c1617b143575.jpeg"/><Relationship Id="rId576" Type="http://schemas.openxmlformats.org/officeDocument/2006/relationships/image" Target="../media/e433b574_7e0e_11ed_a39b_047c1617b143_0d87f52b_a593_11ee_a526_047c1617b143576.jpeg"/><Relationship Id="rId577" Type="http://schemas.openxmlformats.org/officeDocument/2006/relationships/image" Target="../media/e433b576_7e0e_11ed_a39b_047c1617b143_0d87f52c_a593_11ee_a526_047c1617b143577.jpeg"/><Relationship Id="rId578" Type="http://schemas.openxmlformats.org/officeDocument/2006/relationships/image" Target="../media/e433b578_7e0e_11ed_a39b_047c1617b143_0d87f52d_a593_11ee_a526_047c1617b143578.jpeg"/><Relationship Id="rId579" Type="http://schemas.openxmlformats.org/officeDocument/2006/relationships/image" Target="../media/e433b57a_7e0e_11ed_a39b_047c1617b143_0d87f530_a593_11ee_a526_047c1617b143579.jpeg"/><Relationship Id="rId580" Type="http://schemas.openxmlformats.org/officeDocument/2006/relationships/image" Target="../media/e433b57c_7e0e_11ed_a39b_047c1617b143_0d87f533_a593_11ee_a526_047c1617b143580.jpeg"/><Relationship Id="rId581" Type="http://schemas.openxmlformats.org/officeDocument/2006/relationships/image" Target="../media/e433b57e_7e0e_11ed_a39b_047c1617b143_0d87f534_a593_11ee_a526_047c1617b143581.jpeg"/><Relationship Id="rId582" Type="http://schemas.openxmlformats.org/officeDocument/2006/relationships/image" Target="../media/e433b580_7e0e_11ed_a39b_047c1617b143_0d87f537_a593_11ee_a526_047c1617b143582.jpeg"/><Relationship Id="rId583" Type="http://schemas.openxmlformats.org/officeDocument/2006/relationships/image" Target="../media/e433b582_7e0e_11ed_a39b_047c1617b143_0d87f538_a593_11ee_a526_047c1617b143583.jpeg"/><Relationship Id="rId584" Type="http://schemas.openxmlformats.org/officeDocument/2006/relationships/image" Target="../media/e433b584_7e0e_11ed_a39b_047c1617b143_0d87f53a_a593_11ee_a526_047c1617b143584.jpeg"/><Relationship Id="rId585" Type="http://schemas.openxmlformats.org/officeDocument/2006/relationships/image" Target="../media/e433b586_7e0e_11ed_a39b_047c1617b143_0d87f53c_a593_11ee_a526_047c1617b143585.jpeg"/><Relationship Id="rId586" Type="http://schemas.openxmlformats.org/officeDocument/2006/relationships/image" Target="../media/e433b588_7e0e_11ed_a39b_047c1617b143_0d87f51e_a593_11ee_a526_047c1617b143586.jpeg"/><Relationship Id="rId587" Type="http://schemas.openxmlformats.org/officeDocument/2006/relationships/image" Target="../media/e433b58a_7e0e_11ed_a39b_047c1617b143_0d87f520_a593_11ee_a526_047c1617b143587.jpeg"/><Relationship Id="rId588" Type="http://schemas.openxmlformats.org/officeDocument/2006/relationships/image" Target="../media/e433b58c_7e0e_11ed_a39b_047c1617b143_0d87f522_a593_11ee_a526_047c1617b143588.jpeg"/><Relationship Id="rId589" Type="http://schemas.openxmlformats.org/officeDocument/2006/relationships/image" Target="../media/e433b58e_7e0e_11ed_a39b_047c1617b143_0d87f51f_a593_11ee_a526_047c1617b143589.jpeg"/><Relationship Id="rId590" Type="http://schemas.openxmlformats.org/officeDocument/2006/relationships/image" Target="../media/e433b590_7e0e_11ed_a39b_047c1617b143_0d87f521_a593_11ee_a526_047c1617b143590.jpeg"/><Relationship Id="rId591" Type="http://schemas.openxmlformats.org/officeDocument/2006/relationships/image" Target="../media/e433b592_7e0e_11ed_a39b_047c1617b143_0d87f523_a593_11ee_a526_047c1617b143591.jpeg"/><Relationship Id="rId592" Type="http://schemas.openxmlformats.org/officeDocument/2006/relationships/image" Target="../media/e433b594_7e0e_11ed_a39b_047c1617b143_0d87f551_a593_11ee_a526_047c1617b143592.jpeg"/><Relationship Id="rId593" Type="http://schemas.openxmlformats.org/officeDocument/2006/relationships/image" Target="../media/e433b596_7e0e_11ed_a39b_047c1617b143_0d87f552_a593_11ee_a526_047c1617b143593.jpeg"/><Relationship Id="rId594" Type="http://schemas.openxmlformats.org/officeDocument/2006/relationships/image" Target="../media/e433b598_7e0e_11ed_a39b_047c1617b143_0d87f5d9_a593_11ee_a526_047c1617b143594.jpeg"/><Relationship Id="rId595" Type="http://schemas.openxmlformats.org/officeDocument/2006/relationships/image" Target="../media/21a39ba3_019d_11ef_a5a2_047c1617b143_ae66e603_3fbb_11ef_a5f3_047c1617b143595.jpeg"/><Relationship Id="rId596" Type="http://schemas.openxmlformats.org/officeDocument/2006/relationships/image" Target="../media/21a39ba5_019d_11ef_a5a2_047c1617b143_ae66e604_3fbb_11ef_a5f3_047c1617b143596.jpeg"/><Relationship Id="rId597" Type="http://schemas.openxmlformats.org/officeDocument/2006/relationships/image" Target="../media/31a73bed_da46_11ee_a56d_047c1617b143_5dcd87df_5a46_11f0_a775_047c1617b143597.jpeg"/><Relationship Id="rId598" Type="http://schemas.openxmlformats.org/officeDocument/2006/relationships/image" Target="../media/31a73bef_da46_11ee_a56d_047c1617b143_5dcd87e7_5a46_11f0_a775_047c1617b143598.jpeg"/><Relationship Id="rId599" Type="http://schemas.openxmlformats.org/officeDocument/2006/relationships/image" Target="../media/31a73bf1_da46_11ee_a56d_047c1617b143_5dcd87ef_5a46_11f0_a775_047c1617b143599.jpeg"/><Relationship Id="rId600" Type="http://schemas.openxmlformats.org/officeDocument/2006/relationships/image" Target="../media/31a73bf3_da46_11ee_a56d_047c1617b143_5dcd87dc_5a46_11f0_a775_047c1617b143600.jpeg"/><Relationship Id="rId601" Type="http://schemas.openxmlformats.org/officeDocument/2006/relationships/image" Target="../media/31a73bf5_da46_11ee_a56d_047c1617b143_5dcd87da_5a46_11f0_a775_047c1617b143601.jpeg"/><Relationship Id="rId602" Type="http://schemas.openxmlformats.org/officeDocument/2006/relationships/image" Target="../media/a1255077_da6d_11ee_a56d_047c1617b143_5dcd87e4_5a46_11f0_a775_047c1617b143602.jpeg"/><Relationship Id="rId603" Type="http://schemas.openxmlformats.org/officeDocument/2006/relationships/image" Target="../media/a1255079_da6d_11ee_a56d_047c1617b143_5dcd87e2_5a46_11f0_a775_047c1617b143603.jpeg"/><Relationship Id="rId604" Type="http://schemas.openxmlformats.org/officeDocument/2006/relationships/image" Target="../media/a125507b_da6d_11ee_a56d_047c1617b143_5dcd87ec_5a46_11f0_a775_047c1617b143604.jpeg"/><Relationship Id="rId605" Type="http://schemas.openxmlformats.org/officeDocument/2006/relationships/image" Target="../media/a125507d_da6d_11ee_a56d_047c1617b143_5dcd87ea_5a46_11f0_a775_047c1617b143605.jpeg"/><Relationship Id="rId606" Type="http://schemas.openxmlformats.org/officeDocument/2006/relationships/image" Target="../media/a125507f_da6d_11ee_a56d_047c1617b143_5dcd87f4_5a46_11f0_a775_047c1617b143606.jpeg"/><Relationship Id="rId607" Type="http://schemas.openxmlformats.org/officeDocument/2006/relationships/image" Target="../media/a1255081_da6d_11ee_a56d_047c1617b143_5dcd87f2_5a46_11f0_a775_047c1617b143607.jpeg"/><Relationship Id="rId608" Type="http://schemas.openxmlformats.org/officeDocument/2006/relationships/image" Target="../media/a1255083_da6d_11ee_a56d_047c1617b143_5dcd87f6_5a46_11f0_a775_047c1617b143608.jpeg"/><Relationship Id="rId609" Type="http://schemas.openxmlformats.org/officeDocument/2006/relationships/image" Target="../media/a1255085_da6d_11ee_a56d_047c1617b143_5dcd87f8_5a46_11f0_a775_047c1617b143609.jpeg"/><Relationship Id="rId610" Type="http://schemas.openxmlformats.org/officeDocument/2006/relationships/image" Target="../media/a1255087_da6d_11ee_a56d_047c1617b143_5dcd87fa_5a46_11f0_a775_047c1617b143610.jpeg"/><Relationship Id="rId611" Type="http://schemas.openxmlformats.org/officeDocument/2006/relationships/image" Target="../media/a1255089_da6d_11ee_a56d_047c1617b143_5dcd87dd_5a46_11f0_a775_047c1617b143611.jpeg"/><Relationship Id="rId612" Type="http://schemas.openxmlformats.org/officeDocument/2006/relationships/image" Target="../media/a125508b_da6d_11ee_a56d_047c1617b143_5dcd87e5_5a46_11f0_a775_047c1617b143612.jpeg"/><Relationship Id="rId613" Type="http://schemas.openxmlformats.org/officeDocument/2006/relationships/image" Target="../media/a125508d_da6d_11ee_a56d_047c1617b143_5dcd87ed_5a46_11f0_a775_047c1617b143613.jpeg"/><Relationship Id="rId614" Type="http://schemas.openxmlformats.org/officeDocument/2006/relationships/image" Target="../media/a125508f_da6d_11ee_a56d_047c1617b143_5dcd87db_5a46_11f0_a775_047c1617b143614.jpeg"/><Relationship Id="rId615" Type="http://schemas.openxmlformats.org/officeDocument/2006/relationships/image" Target="../media/a1255091_da6d_11ee_a56d_047c1617b143_5dcd87d9_5a46_11f0_a775_047c1617b143615.jpeg"/><Relationship Id="rId616" Type="http://schemas.openxmlformats.org/officeDocument/2006/relationships/image" Target="../media/a1255093_da6d_11ee_a56d_047c1617b143_5dcd87e3_5a46_11f0_a775_047c1617b143616.jpeg"/><Relationship Id="rId617" Type="http://schemas.openxmlformats.org/officeDocument/2006/relationships/image" Target="../media/a1255095_da6d_11ee_a56d_047c1617b143_5dcd87e1_5a46_11f0_a775_047c1617b143617.jpeg"/><Relationship Id="rId618" Type="http://schemas.openxmlformats.org/officeDocument/2006/relationships/image" Target="../media/a1255097_da6d_11ee_a56d_047c1617b143_5dcd87eb_5a46_11f0_a775_047c1617b143618.jpeg"/><Relationship Id="rId619" Type="http://schemas.openxmlformats.org/officeDocument/2006/relationships/image" Target="../media/a1255099_da6d_11ee_a56d_047c1617b143_5dcd87e9_5a46_11f0_a775_047c1617b143619.jpeg"/><Relationship Id="rId620" Type="http://schemas.openxmlformats.org/officeDocument/2006/relationships/image" Target="../media/a125509b_da6d_11ee_a56d_047c1617b143_5dcd87f3_5a46_11f0_a775_047c1617b143620.jpeg"/><Relationship Id="rId621" Type="http://schemas.openxmlformats.org/officeDocument/2006/relationships/image" Target="../media/a125509d_da6d_11ee_a56d_047c1617b143_5dcd87f1_5a46_11f0_a775_047c1617b143621.jpeg"/><Relationship Id="rId622" Type="http://schemas.openxmlformats.org/officeDocument/2006/relationships/image" Target="../media/a125509f_da6d_11ee_a56d_047c1617b143_5dcd87f5_5a46_11f0_a775_047c1617b143622.jpeg"/><Relationship Id="rId623" Type="http://schemas.openxmlformats.org/officeDocument/2006/relationships/image" Target="../media/a12550a1_da6d_11ee_a56d_047c1617b143_5dcd87f7_5a46_11f0_a775_047c1617b143623.jpeg"/><Relationship Id="rId624" Type="http://schemas.openxmlformats.org/officeDocument/2006/relationships/image" Target="../media/a12550a3_da6d_11ee_a56d_047c1617b143_5dcd87f9_5a46_11f0_a775_047c1617b143624.jpeg"/><Relationship Id="rId625" Type="http://schemas.openxmlformats.org/officeDocument/2006/relationships/image" Target="../media/a12550a5_da6d_11ee_a56d_047c1617b143_5dcd87e0_5a46_11f0_a775_047c1617b143625.jpeg"/><Relationship Id="rId626" Type="http://schemas.openxmlformats.org/officeDocument/2006/relationships/image" Target="../media/a12550a7_da6d_11ee_a56d_047c1617b143_5dcd87e8_5a46_11f0_a775_047c1617b143626.jpeg"/><Relationship Id="rId627" Type="http://schemas.openxmlformats.org/officeDocument/2006/relationships/image" Target="../media/a12550a9_da6d_11ee_a56d_047c1617b143_5dcd87f0_5a46_11f0_a775_047c1617b143627.jpeg"/><Relationship Id="rId628" Type="http://schemas.openxmlformats.org/officeDocument/2006/relationships/image" Target="../media/a12550ab_da6d_11ee_a56d_047c1617b143_5dcd87de_5a46_11f0_a775_047c1617b143628.jpeg"/><Relationship Id="rId629" Type="http://schemas.openxmlformats.org/officeDocument/2006/relationships/image" Target="../media/a12550ad_da6d_11ee_a56d_047c1617b143_5dcd87e6_5a46_11f0_a775_047c1617b143629.jpeg"/><Relationship Id="rId630" Type="http://schemas.openxmlformats.org/officeDocument/2006/relationships/image" Target="../media/a12550af_da6d_11ee_a56d_047c1617b143_5dcd87ee_5a46_11f0_a775_047c1617b143630.jpeg"/><Relationship Id="rId631" Type="http://schemas.openxmlformats.org/officeDocument/2006/relationships/image" Target="../media/296d3bad_4441_11f0_a750_047c1617b143_5dcd883a_5a46_11f0_a775_047c1617b143631.jpeg"/><Relationship Id="rId632" Type="http://schemas.openxmlformats.org/officeDocument/2006/relationships/image" Target="../media/296d3baf_4441_11f0_a750_047c1617b143_5dcd883b_5a46_11f0_a775_047c1617b143632.jpeg"/><Relationship Id="rId633" Type="http://schemas.openxmlformats.org/officeDocument/2006/relationships/image" Target="../media/296d3bb1_4441_11f0_a750_047c1617b143_5dcd883c_5a46_11f0_a775_047c1617b143633.jpeg"/><Relationship Id="rId634" Type="http://schemas.openxmlformats.org/officeDocument/2006/relationships/image" Target="../media/296d3bb3_4441_11f0_a750_047c1617b143_5dcd883d_5a46_11f0_a775_047c1617b143634.jpeg"/><Relationship Id="rId635" Type="http://schemas.openxmlformats.org/officeDocument/2006/relationships/image" Target="../media/296d3bb5_4441_11f0_a750_047c1617b143_5dcd883e_5a46_11f0_a775_047c1617b143635.jpeg"/><Relationship Id="rId636" Type="http://schemas.openxmlformats.org/officeDocument/2006/relationships/image" Target="../media/296d3bb7_4441_11f0_a750_047c1617b143_5dcd883f_5a46_11f0_a775_047c1617b143636.jpeg"/><Relationship Id="rId637" Type="http://schemas.openxmlformats.org/officeDocument/2006/relationships/image" Target="../media/296d3bb9_4441_11f0_a750_047c1617b143_5dcd8840_5a46_11f0_a775_047c1617b143637.jpeg"/><Relationship Id="rId638" Type="http://schemas.openxmlformats.org/officeDocument/2006/relationships/image" Target="../media/296d3bbb_4441_11f0_a750_047c1617b143_5dcd8841_5a46_11f0_a775_047c1617b143638.jpeg"/><Relationship Id="rId639" Type="http://schemas.openxmlformats.org/officeDocument/2006/relationships/image" Target="../media/296d3bbd_4441_11f0_a750_047c1617b143_5dcd8839_5a46_11f0_a775_047c1617b143639.jpeg"/><Relationship Id="rId640" Type="http://schemas.openxmlformats.org/officeDocument/2006/relationships/image" Target="../media/296d3bbf_4441_11f0_a750_047c1617b143_5dcd8827_5a46_11f0_a775_047c1617b143640.jpeg"/><Relationship Id="rId641" Type="http://schemas.openxmlformats.org/officeDocument/2006/relationships/image" Target="../media/296d3bc1_4441_11f0_a750_047c1617b143_5dcd8828_5a46_11f0_a775_047c1617b143641.jpeg"/><Relationship Id="rId642" Type="http://schemas.openxmlformats.org/officeDocument/2006/relationships/image" Target="../media/296d3bc3_4441_11f0_a750_047c1617b143_5dcd8829_5a46_11f0_a775_047c1617b143642.jpeg"/><Relationship Id="rId643" Type="http://schemas.openxmlformats.org/officeDocument/2006/relationships/image" Target="../media/08de5a75_4494_11f0_a750_047c1617b143_5dcd882a_5a46_11f0_a775_047c1617b143643.jpeg"/><Relationship Id="rId644" Type="http://schemas.openxmlformats.org/officeDocument/2006/relationships/image" Target="../media/08de5a77_4494_11f0_a750_047c1617b143_5dcd882b_5a46_11f0_a775_047c1617b143644.jpeg"/><Relationship Id="rId645" Type="http://schemas.openxmlformats.org/officeDocument/2006/relationships/image" Target="../media/08de5a79_4494_11f0_a750_047c1617b143_5dcd882c_5a46_11f0_a775_047c1617b143645.jpeg"/><Relationship Id="rId646" Type="http://schemas.openxmlformats.org/officeDocument/2006/relationships/image" Target="../media/08de5a7b_4494_11f0_a750_047c1617b143_5dcd882d_5a46_11f0_a775_047c1617b143646.jpeg"/><Relationship Id="rId647" Type="http://schemas.openxmlformats.org/officeDocument/2006/relationships/image" Target="../media/08de5a7d_4494_11f0_a750_047c1617b143_5dcd882e_5a46_11f0_a775_047c1617b143647.jpeg"/><Relationship Id="rId648" Type="http://schemas.openxmlformats.org/officeDocument/2006/relationships/image" Target="../media/08de5a7f_4494_11f0_a750_047c1617b143_5dcd882f_5a46_11f0_a775_047c1617b143648.jpeg"/><Relationship Id="rId649" Type="http://schemas.openxmlformats.org/officeDocument/2006/relationships/image" Target="../media/08de5a81_4494_11f0_a750_047c1617b143_5dcd8830_5a46_11f0_a775_047c1617b143649.jpeg"/><Relationship Id="rId650" Type="http://schemas.openxmlformats.org/officeDocument/2006/relationships/image" Target="../media/08de5a87_4494_11f0_a750_047c1617b143_5dcd8833_5a46_11f0_a775_047c1617b143650.jpeg"/><Relationship Id="rId651" Type="http://schemas.openxmlformats.org/officeDocument/2006/relationships/image" Target="../media/08de5a89_4494_11f0_a750_047c1617b143_5dcd8834_5a46_11f0_a775_047c1617b143651.jpeg"/><Relationship Id="rId652" Type="http://schemas.openxmlformats.org/officeDocument/2006/relationships/image" Target="../media/08de5a8b_4494_11f0_a750_047c1617b143_5dcd8835_5a46_11f0_a775_047c1617b143652.jpeg"/><Relationship Id="rId653" Type="http://schemas.openxmlformats.org/officeDocument/2006/relationships/image" Target="../media/08de5a8d_4494_11f0_a750_047c1617b143_5dcd8836_5a46_11f0_a775_047c1617b143653.jpeg"/><Relationship Id="rId654" Type="http://schemas.openxmlformats.org/officeDocument/2006/relationships/image" Target="../media/08de5a8f_4494_11f0_a750_047c1617b143_5dcd8837_5a46_11f0_a775_047c1617b143654.jpeg"/><Relationship Id="rId655" Type="http://schemas.openxmlformats.org/officeDocument/2006/relationships/image" Target="../media/08de5a91_4494_11f0_a750_047c1617b143_5dcd8838_5a46_11f0_a775_047c1617b143655.jpeg"/><Relationship Id="rId656" Type="http://schemas.openxmlformats.org/officeDocument/2006/relationships/image" Target="../media/08de5a93_4494_11f0_a750_047c1617b143_5dcd8824_5a46_11f0_a775_047c1617b143656.jpeg"/><Relationship Id="rId657" Type="http://schemas.openxmlformats.org/officeDocument/2006/relationships/image" Target="../media/08de5a95_4494_11f0_a750_047c1617b143_5dcd8825_5a46_11f0_a775_047c1617b143657.jpeg"/><Relationship Id="rId658" Type="http://schemas.openxmlformats.org/officeDocument/2006/relationships/image" Target="../media/08de5a97_4494_11f0_a750_047c1617b143_5dcd8826_5a46_11f0_a775_047c1617b143658.jpeg"/><Relationship Id="rId659" Type="http://schemas.openxmlformats.org/officeDocument/2006/relationships/image" Target="../media/08de5a99_4494_11f0_a750_047c1617b143_64c8bab2_5a46_11f0_a775_047c1617b143659.jpeg"/><Relationship Id="rId660" Type="http://schemas.openxmlformats.org/officeDocument/2006/relationships/image" Target="../media/08de5a9b_4494_11f0_a750_047c1617b143_64c8bab4_5a46_11f0_a775_047c1617b143660.jpeg"/><Relationship Id="rId661" Type="http://schemas.openxmlformats.org/officeDocument/2006/relationships/image" Target="../media/08de5a9d_4494_11f0_a750_047c1617b143_64c8bab6_5a46_11f0_a775_047c1617b143661.jpeg"/><Relationship Id="rId662" Type="http://schemas.openxmlformats.org/officeDocument/2006/relationships/image" Target="../media/08de5a9f_4494_11f0_a750_047c1617b143_64c8bab8_5a46_11f0_a775_047c1617b143662.jpeg"/><Relationship Id="rId663" Type="http://schemas.openxmlformats.org/officeDocument/2006/relationships/image" Target="../media/08de5aa1_4494_11f0_a750_047c1617b143_64c8baba_5a46_11f0_a775_047c1617b143663.jpeg"/><Relationship Id="rId664" Type="http://schemas.openxmlformats.org/officeDocument/2006/relationships/image" Target="../media/08de5aa3_4494_11f0_a750_047c1617b143_64c8babc_5a46_11f0_a775_047c1617b143664.jpeg"/><Relationship Id="rId665" Type="http://schemas.openxmlformats.org/officeDocument/2006/relationships/image" Target="../media/08de5aa5_4494_11f0_a750_047c1617b143_64c8bab1_5a46_11f0_a775_047c1617b143665.jpeg"/><Relationship Id="rId666" Type="http://schemas.openxmlformats.org/officeDocument/2006/relationships/image" Target="../media/08de5aa7_4494_11f0_a750_047c1617b143_64c8bab3_5a46_11f0_a775_047c1617b143666.jpeg"/><Relationship Id="rId667" Type="http://schemas.openxmlformats.org/officeDocument/2006/relationships/image" Target="../media/08de5aa9_4494_11f0_a750_047c1617b143_64c8bab5_5a46_11f0_a775_047c1617b143667.jpeg"/><Relationship Id="rId668" Type="http://schemas.openxmlformats.org/officeDocument/2006/relationships/image" Target="../media/08de5aab_4494_11f0_a750_047c1617b143_64c8bab7_5a46_11f0_a775_047c1617b143668.jpeg"/><Relationship Id="rId669" Type="http://schemas.openxmlformats.org/officeDocument/2006/relationships/image" Target="../media/08de5aad_4494_11f0_a750_047c1617b143_64c8bab9_5a46_11f0_a775_047c1617b143669.jpeg"/><Relationship Id="rId670" Type="http://schemas.openxmlformats.org/officeDocument/2006/relationships/image" Target="../media/08de5aaf_4494_11f0_a750_047c1617b143_64c8babb_5a46_11f0_a775_047c1617b143670.jpeg"/><Relationship Id="rId671" Type="http://schemas.openxmlformats.org/officeDocument/2006/relationships/image" Target="../media/08de5ab1_4494_11f0_a750_047c1617b143_64c8babd_5a46_11f0_a775_047c1617b143671.jpeg"/><Relationship Id="rId672" Type="http://schemas.openxmlformats.org/officeDocument/2006/relationships/image" Target="../media/08de5ab3_4494_11f0_a750_047c1617b143_64c8babe_5a46_11f0_a775_047c1617b143672.jpeg"/><Relationship Id="rId673" Type="http://schemas.openxmlformats.org/officeDocument/2006/relationships/image" Target="../media/08de5ab5_4494_11f0_a750_047c1617b143_64c8bab0_5a46_11f0_a775_047c1617b143673.jpeg"/><Relationship Id="rId674" Type="http://schemas.openxmlformats.org/officeDocument/2006/relationships/image" Target="../media/08de5ab7_4494_11f0_a750_047c1617b143_64c8babf_5a46_11f0_a775_047c1617b143674.jpeg"/><Relationship Id="rId675" Type="http://schemas.openxmlformats.org/officeDocument/2006/relationships/image" Target="../media/08de5ab9_4494_11f0_a750_047c1617b143_64c8bac0_5a46_11f0_a775_047c1617b143675.jpeg"/><Relationship Id="rId676" Type="http://schemas.openxmlformats.org/officeDocument/2006/relationships/image" Target="../media/08de5abb_4494_11f0_a750_047c1617b143_5dcd884e_5a46_11f0_a775_047c1617b143676.jpeg"/><Relationship Id="rId677" Type="http://schemas.openxmlformats.org/officeDocument/2006/relationships/image" Target="../media/08de5abd_4494_11f0_a750_047c1617b143_64c8ba96_5a46_11f0_a775_047c1617b143677.jpeg"/><Relationship Id="rId678" Type="http://schemas.openxmlformats.org/officeDocument/2006/relationships/image" Target="../media/08de5abf_4494_11f0_a750_047c1617b143_64c8ba99_5a46_11f0_a775_047c1617b143678.jpeg"/><Relationship Id="rId679" Type="http://schemas.openxmlformats.org/officeDocument/2006/relationships/image" Target="../media/08de5ac1_4494_11f0_a750_047c1617b143_64c8ba9d_5a46_11f0_a775_047c1617b143679.jpeg"/><Relationship Id="rId680" Type="http://schemas.openxmlformats.org/officeDocument/2006/relationships/image" Target="../media/08de5ac3_4494_11f0_a750_047c1617b143_64c8ba9e_5a46_11f0_a775_047c1617b143680.jpeg"/><Relationship Id="rId681" Type="http://schemas.openxmlformats.org/officeDocument/2006/relationships/image" Target="../media/08de5ac5_4494_11f0_a750_047c1617b143_64c8ba9f_5a46_11f0_a775_047c1617b143681.jpeg"/><Relationship Id="rId682" Type="http://schemas.openxmlformats.org/officeDocument/2006/relationships/image" Target="../media/08de5ac7_4494_11f0_a750_047c1617b143_64c8baa0_5a46_11f0_a775_047c1617b143682.jpeg"/><Relationship Id="rId683" Type="http://schemas.openxmlformats.org/officeDocument/2006/relationships/image" Target="../media/08de5ac9_4494_11f0_a750_047c1617b143_64c8baa1_5a46_11f0_a775_047c1617b143683.jpeg"/><Relationship Id="rId684" Type="http://schemas.openxmlformats.org/officeDocument/2006/relationships/image" Target="../media/08de5acb_4494_11f0_a750_047c1617b143_5dcd884d_5a46_11f0_a775_047c1617b143684.jpeg"/><Relationship Id="rId685" Type="http://schemas.openxmlformats.org/officeDocument/2006/relationships/image" Target="../media/08de5acd_4494_11f0_a750_047c1617b143_64c8baa9_5a46_11f0_a775_047c1617b143685.jpeg"/><Relationship Id="rId686" Type="http://schemas.openxmlformats.org/officeDocument/2006/relationships/image" Target="../media/08de5acf_4494_11f0_a750_047c1617b143_64c8baaa_5a46_11f0_a775_047c1617b143686.jpeg"/><Relationship Id="rId687" Type="http://schemas.openxmlformats.org/officeDocument/2006/relationships/image" Target="../media/08de5ad1_4494_11f0_a750_047c1617b143_64c8baab_5a46_11f0_a775_047c1617b143687.jpeg"/><Relationship Id="rId688" Type="http://schemas.openxmlformats.org/officeDocument/2006/relationships/image" Target="../media/08de5ad3_4494_11f0_a750_047c1617b143_64c8baac_5a46_11f0_a775_047c1617b143688.jpeg"/><Relationship Id="rId689" Type="http://schemas.openxmlformats.org/officeDocument/2006/relationships/image" Target="../media/08de5ad5_4494_11f0_a750_047c1617b143_64c8baad_5a46_11f0_a775_047c1617b143689.jpeg"/><Relationship Id="rId690" Type="http://schemas.openxmlformats.org/officeDocument/2006/relationships/image" Target="../media/08de5ad7_4494_11f0_a750_047c1617b143_64c8baae_5a46_11f0_a775_047c1617b143690.jpeg"/><Relationship Id="rId691" Type="http://schemas.openxmlformats.org/officeDocument/2006/relationships/image" Target="../media/08de5ad9_4494_11f0_a750_047c1617b143_5dcd87ff_5a46_11f0_a775_047c1617b143691.jpeg"/><Relationship Id="rId692" Type="http://schemas.openxmlformats.org/officeDocument/2006/relationships/image" Target="../media/08de5adb_4494_11f0_a750_047c1617b143_5dcd8800_5a46_11f0_a775_047c1617b143692.jpeg"/><Relationship Id="rId693" Type="http://schemas.openxmlformats.org/officeDocument/2006/relationships/image" Target="../media/08de5add_4494_11f0_a750_047c1617b143_5dcd8802_5a46_11f0_a775_047c1617b143693.jpeg"/><Relationship Id="rId694" Type="http://schemas.openxmlformats.org/officeDocument/2006/relationships/image" Target="../media/08de5adf_4494_11f0_a750_047c1617b143_5dcd87fe_5a46_11f0_a775_047c1617b143694.jpeg"/><Relationship Id="rId695" Type="http://schemas.openxmlformats.org/officeDocument/2006/relationships/image" Target="../media/08de5ae1_4494_11f0_a750_047c1617b143_5dcd8801_5a46_11f0_a775_047c1617b143695.jpeg"/><Relationship Id="rId696" Type="http://schemas.openxmlformats.org/officeDocument/2006/relationships/image" Target="../media/08de5ae3_4494_11f0_a750_047c1617b143_5dcd8847_5a46_11f0_a775_047c1617b143696.jpeg"/><Relationship Id="rId697" Type="http://schemas.openxmlformats.org/officeDocument/2006/relationships/image" Target="../media/08de5ae5_4494_11f0_a750_047c1617b143_5dcd8848_5a46_11f0_a775_047c1617b143697.jpeg"/><Relationship Id="rId698" Type="http://schemas.openxmlformats.org/officeDocument/2006/relationships/image" Target="../media/08de5ae7_4494_11f0_a750_047c1617b143_5dcd8849_5a46_11f0_a775_047c1617b143698.jpeg"/><Relationship Id="rId699" Type="http://schemas.openxmlformats.org/officeDocument/2006/relationships/image" Target="../media/08de5ae9_4494_11f0_a750_047c1617b143_5dcd884a_5a46_11f0_a775_047c1617b143699.jpeg"/><Relationship Id="rId700" Type="http://schemas.openxmlformats.org/officeDocument/2006/relationships/image" Target="../media/08de5aeb_4494_11f0_a750_047c1617b143_5dcd8844_5a46_11f0_a775_047c1617b143700.jpeg"/><Relationship Id="rId701" Type="http://schemas.openxmlformats.org/officeDocument/2006/relationships/image" Target="../media/08de5aed_4494_11f0_a750_047c1617b143_5dcd8845_5a46_11f0_a775_047c1617b143701.jpeg"/><Relationship Id="rId702" Type="http://schemas.openxmlformats.org/officeDocument/2006/relationships/image" Target="../media/08de5aef_4494_11f0_a750_047c1617b143_5dcd8846_5a46_11f0_a775_047c1617b143702.jpeg"/><Relationship Id="rId703" Type="http://schemas.openxmlformats.org/officeDocument/2006/relationships/image" Target="../media/08de5af1_4494_11f0_a750_047c1617b143_5dcd880f_5a46_11f0_a775_047c1617b143703.jpeg"/><Relationship Id="rId704" Type="http://schemas.openxmlformats.org/officeDocument/2006/relationships/image" Target="../media/08de5af3_4494_11f0_a750_047c1617b143_5dcd8811_5a46_11f0_a775_047c1617b143704.jpeg"/><Relationship Id="rId705" Type="http://schemas.openxmlformats.org/officeDocument/2006/relationships/image" Target="../media/08de5af5_4494_11f0_a750_047c1617b143_5dcd8813_5a46_11f0_a775_047c1617b143705.jpeg"/><Relationship Id="rId706" Type="http://schemas.openxmlformats.org/officeDocument/2006/relationships/image" Target="../media/08de5af7_4494_11f0_a750_047c1617b143_5dcd8815_5a46_11f0_a775_047c1617b143706.jpeg"/><Relationship Id="rId707" Type="http://schemas.openxmlformats.org/officeDocument/2006/relationships/image" Target="../media/08de5af9_4494_11f0_a750_047c1617b143_5dcd8819_5a46_11f0_a775_047c1617b143707.jpeg"/><Relationship Id="rId708" Type="http://schemas.openxmlformats.org/officeDocument/2006/relationships/image" Target="../media/08de5afb_4494_11f0_a750_047c1617b143_5dcd881b_5a46_11f0_a775_047c1617b143708.jpeg"/><Relationship Id="rId709" Type="http://schemas.openxmlformats.org/officeDocument/2006/relationships/image" Target="../media/08de5afd_4494_11f0_a750_047c1617b143_5dcd8817_5a46_11f0_a775_047c1617b143709.jpeg"/><Relationship Id="rId710" Type="http://schemas.openxmlformats.org/officeDocument/2006/relationships/image" Target="../media/08de5aff_4494_11f0_a750_047c1617b143_5dcd881d_5a46_11f0_a775_047c1617b143710.jpeg"/><Relationship Id="rId711" Type="http://schemas.openxmlformats.org/officeDocument/2006/relationships/image" Target="../media/08de5b01_4494_11f0_a750_047c1617b143_5dcd881f_5a46_11f0_a775_047c1617b143711.jpeg"/><Relationship Id="rId712" Type="http://schemas.openxmlformats.org/officeDocument/2006/relationships/image" Target="../media/08de5b03_4494_11f0_a750_047c1617b143_5dcd8821_5a46_11f0_a775_047c1617b143712.jpeg"/><Relationship Id="rId713" Type="http://schemas.openxmlformats.org/officeDocument/2006/relationships/image" Target="../media/08de5b05_4494_11f0_a750_047c1617b143_5dcd8823_5a46_11f0_a775_047c1617b143713.jpeg"/><Relationship Id="rId714" Type="http://schemas.openxmlformats.org/officeDocument/2006/relationships/image" Target="../media/08de5b07_4494_11f0_a750_047c1617b143_5dcd880e_5a46_11f0_a775_047c1617b143714.jpeg"/><Relationship Id="rId715" Type="http://schemas.openxmlformats.org/officeDocument/2006/relationships/image" Target="../media/08de5b09_4494_11f0_a750_047c1617b143_5dcd8810_5a46_11f0_a775_047c1617b143715.jpeg"/><Relationship Id="rId716" Type="http://schemas.openxmlformats.org/officeDocument/2006/relationships/image" Target="../media/08de5b0b_4494_11f0_a750_047c1617b143_5dcd8812_5a46_11f0_a775_047c1617b143716.jpeg"/><Relationship Id="rId717" Type="http://schemas.openxmlformats.org/officeDocument/2006/relationships/image" Target="../media/08de5b0d_4494_11f0_a750_047c1617b143_5dcd8814_5a46_11f0_a775_047c1617b143717.jpeg"/><Relationship Id="rId718" Type="http://schemas.openxmlformats.org/officeDocument/2006/relationships/image" Target="../media/08de5b0f_4494_11f0_a750_047c1617b143_5dcd8818_5a46_11f0_a775_047c1617b143718.jpeg"/><Relationship Id="rId719" Type="http://schemas.openxmlformats.org/officeDocument/2006/relationships/image" Target="../media/08de5b11_4494_11f0_a750_047c1617b143_5dcd881a_5a46_11f0_a775_047c1617b143719.jpeg"/><Relationship Id="rId720" Type="http://schemas.openxmlformats.org/officeDocument/2006/relationships/image" Target="../media/08de5b13_4494_11f0_a750_047c1617b143_5dcd8816_5a46_11f0_a775_047c1617b143720.jpeg"/><Relationship Id="rId721" Type="http://schemas.openxmlformats.org/officeDocument/2006/relationships/image" Target="../media/08de5b15_4494_11f0_a750_047c1617b143_5dcd881c_5a46_11f0_a775_047c1617b143721.jpeg"/><Relationship Id="rId722" Type="http://schemas.openxmlformats.org/officeDocument/2006/relationships/image" Target="../media/08de5b17_4494_11f0_a750_047c1617b143_5dcd881e_5a46_11f0_a775_047c1617b143722.jpeg"/><Relationship Id="rId723" Type="http://schemas.openxmlformats.org/officeDocument/2006/relationships/image" Target="../media/08de5b19_4494_11f0_a750_047c1617b143_5dcd8820_5a46_11f0_a775_047c1617b143723.jpeg"/><Relationship Id="rId724" Type="http://schemas.openxmlformats.org/officeDocument/2006/relationships/image" Target="../media/08de5b1b_4494_11f0_a750_047c1617b143_5dcd8822_5a46_11f0_a775_047c1617b143724.jpeg"/><Relationship Id="rId725" Type="http://schemas.openxmlformats.org/officeDocument/2006/relationships/image" Target="../media/08de5b1d_4494_11f0_a750_047c1617b143_64c8bac6_5a46_11f0_a775_047c1617b143725.jpeg"/><Relationship Id="rId726" Type="http://schemas.openxmlformats.org/officeDocument/2006/relationships/image" Target="../media/08de5b1f_4494_11f0_a750_047c1617b143_64c8bac8_5a46_11f0_a775_047c1617b143726.jpeg"/><Relationship Id="rId727" Type="http://schemas.openxmlformats.org/officeDocument/2006/relationships/image" Target="../media/08de5b21_4494_11f0_a750_047c1617b143_64c8baca_5a46_11f0_a775_047c1617b143727.jpeg"/><Relationship Id="rId728" Type="http://schemas.openxmlformats.org/officeDocument/2006/relationships/image" Target="../media/08de5b23_4494_11f0_a750_047c1617b143_64c8bacc_5a46_11f0_a775_047c1617b143728.jpeg"/><Relationship Id="rId729" Type="http://schemas.openxmlformats.org/officeDocument/2006/relationships/image" Target="../media/08de5b25_4494_11f0_a750_047c1617b143_64c8bad0_5a46_11f0_a775_047c1617b143729.jpeg"/><Relationship Id="rId730" Type="http://schemas.openxmlformats.org/officeDocument/2006/relationships/image" Target="../media/08de5b27_4494_11f0_a750_047c1617b143_64c8bad2_5a46_11f0_a775_047c1617b143730.jpeg"/><Relationship Id="rId731" Type="http://schemas.openxmlformats.org/officeDocument/2006/relationships/image" Target="../media/08de5b29_4494_11f0_a750_047c1617b143_64c8bace_5a46_11f0_a775_047c1617b143731.jpeg"/><Relationship Id="rId732" Type="http://schemas.openxmlformats.org/officeDocument/2006/relationships/image" Target="../media/08de5b2b_4494_11f0_a750_047c1617b143_64c8bac5_5a46_11f0_a775_047c1617b143732.jpeg"/><Relationship Id="rId733" Type="http://schemas.openxmlformats.org/officeDocument/2006/relationships/image" Target="../media/08de5b2d_4494_11f0_a750_047c1617b143_64c8bac7_5a46_11f0_a775_047c1617b143733.jpeg"/><Relationship Id="rId734" Type="http://schemas.openxmlformats.org/officeDocument/2006/relationships/image" Target="../media/08de5b2f_4494_11f0_a750_047c1617b143_64c8bac9_5a46_11f0_a775_047c1617b143734.jpeg"/><Relationship Id="rId735" Type="http://schemas.openxmlformats.org/officeDocument/2006/relationships/image" Target="../media/08de5b31_4494_11f0_a750_047c1617b143_64c8bacb_5a46_11f0_a775_047c1617b143735.jpeg"/><Relationship Id="rId736" Type="http://schemas.openxmlformats.org/officeDocument/2006/relationships/image" Target="../media/08de5b33_4494_11f0_a750_047c1617b143_64c8bacf_5a46_11f0_a775_047c1617b143736.jpeg"/><Relationship Id="rId737" Type="http://schemas.openxmlformats.org/officeDocument/2006/relationships/image" Target="../media/08de5b35_4494_11f0_a750_047c1617b143_64c8bad1_5a46_11f0_a775_047c1617b143737.jpeg"/><Relationship Id="rId738" Type="http://schemas.openxmlformats.org/officeDocument/2006/relationships/image" Target="../media/08de5b37_4494_11f0_a750_047c1617b143_64c8bacd_5a46_11f0_a775_047c1617b143738.jpeg"/><Relationship Id="rId739" Type="http://schemas.openxmlformats.org/officeDocument/2006/relationships/image" Target="../media/08de5b39_4494_11f0_a750_047c1617b143_64c8bac2_5a46_11f0_a775_047c1617b143739.jpeg"/><Relationship Id="rId740" Type="http://schemas.openxmlformats.org/officeDocument/2006/relationships/image" Target="../media/08de5b3b_4494_11f0_a750_047c1617b143_64c8bac3_5a46_11f0_a775_047c1617b143740.jpeg"/><Relationship Id="rId741" Type="http://schemas.openxmlformats.org/officeDocument/2006/relationships/image" Target="../media/08de5b3d_4494_11f0_a750_047c1617b143_64c8bac4_5a46_11f0_a775_047c1617b143741.jpeg"/><Relationship Id="rId742" Type="http://schemas.openxmlformats.org/officeDocument/2006/relationships/image" Target="../media/08de5b3f_4494_11f0_a750_047c1617b143_64c8bac1_5a46_11f0_a775_047c1617b143742.jpeg"/><Relationship Id="rId743" Type="http://schemas.openxmlformats.org/officeDocument/2006/relationships/image" Target="../media/08de5b41_4494_11f0_a750_047c1617b143_5dcd884b_5a46_11f0_a775_047c1617b143743.jpeg"/><Relationship Id="rId744" Type="http://schemas.openxmlformats.org/officeDocument/2006/relationships/image" Target="../media/08de5b43_4494_11f0_a750_047c1617b143_5dcd884c_5a46_11f0_a775_047c1617b143744.jpeg"/><Relationship Id="rId745" Type="http://schemas.openxmlformats.org/officeDocument/2006/relationships/image" Target="../media/08de5b45_4494_11f0_a750_047c1617b143_64c8ba94_5a46_11f0_a775_047c1617b143745.jpeg"/><Relationship Id="rId746" Type="http://schemas.openxmlformats.org/officeDocument/2006/relationships/image" Target="../media/08de5b47_4494_11f0_a750_047c1617b143_64c8ba95_5a46_11f0_a775_047c1617b143746.jpeg"/><Relationship Id="rId747" Type="http://schemas.openxmlformats.org/officeDocument/2006/relationships/image" Target="../media/08de5b49_4494_11f0_a750_047c1617b143_64c8ba97_5a46_11f0_a775_047c1617b143747.jpeg"/><Relationship Id="rId748" Type="http://schemas.openxmlformats.org/officeDocument/2006/relationships/image" Target="../media/08de5b4b_4494_11f0_a750_047c1617b143_64c8ba98_5a46_11f0_a775_047c1617b143748.jpeg"/><Relationship Id="rId749" Type="http://schemas.openxmlformats.org/officeDocument/2006/relationships/image" Target="../media/08de5b4d_4494_11f0_a750_047c1617b143_64c8ba9b_5a46_11f0_a775_047c1617b143749.jpeg"/><Relationship Id="rId750" Type="http://schemas.openxmlformats.org/officeDocument/2006/relationships/image" Target="../media/08de5b4f_4494_11f0_a750_047c1617b143_64c8ba9c_5a46_11f0_a775_047c1617b143750.jpeg"/><Relationship Id="rId751" Type="http://schemas.openxmlformats.org/officeDocument/2006/relationships/image" Target="../media/08de5b51_4494_11f0_a750_047c1617b143_64c8ba9a_5a46_11f0_a775_047c1617b143751.jpeg"/><Relationship Id="rId752" Type="http://schemas.openxmlformats.org/officeDocument/2006/relationships/image" Target="../media/08de5b53_4494_11f0_a750_047c1617b143_64c8baa2_5a46_11f0_a775_047c1617b143752.jpeg"/><Relationship Id="rId753" Type="http://schemas.openxmlformats.org/officeDocument/2006/relationships/image" Target="../media/08de5b55_4494_11f0_a750_047c1617b143_64c8baa3_5a46_11f0_a775_047c1617b143753.jpeg"/><Relationship Id="rId754" Type="http://schemas.openxmlformats.org/officeDocument/2006/relationships/image" Target="../media/08de5b57_4494_11f0_a750_047c1617b143_64c8baa4_5a46_11f0_a775_047c1617b143754.jpeg"/><Relationship Id="rId755" Type="http://schemas.openxmlformats.org/officeDocument/2006/relationships/image" Target="../media/08de5b59_4494_11f0_a750_047c1617b143_64c8baa5_5a46_11f0_a775_047c1617b143755.jpeg"/><Relationship Id="rId756" Type="http://schemas.openxmlformats.org/officeDocument/2006/relationships/image" Target="../media/08de5b5b_4494_11f0_a750_047c1617b143_64c8baa7_5a46_11f0_a775_047c1617b143756.jpeg"/><Relationship Id="rId757" Type="http://schemas.openxmlformats.org/officeDocument/2006/relationships/image" Target="../media/08de5b5d_4494_11f0_a750_047c1617b143_64c8baa8_5a46_11f0_a775_047c1617b143757.jpeg"/><Relationship Id="rId758" Type="http://schemas.openxmlformats.org/officeDocument/2006/relationships/image" Target="../media/08de5b5f_4494_11f0_a750_047c1617b143_64c8baa6_5a46_11f0_a775_047c1617b143758.jpeg"/><Relationship Id="rId759" Type="http://schemas.openxmlformats.org/officeDocument/2006/relationships/image" Target="../media/08de5b61_4494_11f0_a750_047c1617b143_5dcd8842_5a46_11f0_a775_047c1617b143759.jpeg"/><Relationship Id="rId760" Type="http://schemas.openxmlformats.org/officeDocument/2006/relationships/image" Target="../media/08de5b63_4494_11f0_a750_047c1617b143_5dcd8843_5a46_11f0_a775_047c1617b143760.jpeg"/><Relationship Id="rId761" Type="http://schemas.openxmlformats.org/officeDocument/2006/relationships/image" Target="../media/08de5b65_4494_11f0_a750_047c1617b143_64c8bad3_5a46_11f0_a775_047c1617b143761.jpeg"/><Relationship Id="rId762" Type="http://schemas.openxmlformats.org/officeDocument/2006/relationships/image" Target="../media/08de5b67_4494_11f0_a750_047c1617b143_64c8bad4_5a46_11f0_a775_047c1617b143762.jpeg"/><Relationship Id="rId763" Type="http://schemas.openxmlformats.org/officeDocument/2006/relationships/image" Target="../media/08de5b69_4494_11f0_a750_047c1617b143_64c8baaf_5a46_11f0_a775_047c1617b143763.jpeg"/><Relationship Id="rId764" Type="http://schemas.openxmlformats.org/officeDocument/2006/relationships/image" Target="../media/08de5b6b_4494_11f0_a750_047c1617b143_64c8bad5_5a46_11f0_a775_047c1617b143764.jpeg"/><Relationship Id="rId765" Type="http://schemas.openxmlformats.org/officeDocument/2006/relationships/image" Target="../media/08de5b6d_4494_11f0_a750_047c1617b143_64c8bad6_5a46_11f0_a775_047c1617b143765.jpeg"/><Relationship Id="rId766" Type="http://schemas.openxmlformats.org/officeDocument/2006/relationships/image" Target="../media/08de5b6f_4494_11f0_a750_047c1617b143_64c8bad7_5a46_11f0_a775_047c1617b143766.jpeg"/><Relationship Id="rId767" Type="http://schemas.openxmlformats.org/officeDocument/2006/relationships/image" Target="../media/08de5b71_4494_11f0_a750_047c1617b143_5dcd8807_5a46_11f0_a775_047c1617b143767.jpeg"/><Relationship Id="rId768" Type="http://schemas.openxmlformats.org/officeDocument/2006/relationships/image" Target="../media/08de5b73_4494_11f0_a750_047c1617b143_5dcd8808_5a46_11f0_a775_047c1617b143768.jpeg"/><Relationship Id="rId769" Type="http://schemas.openxmlformats.org/officeDocument/2006/relationships/image" Target="../media/08de5b75_4494_11f0_a750_047c1617b143_5dcd8809_5a46_11f0_a775_047c1617b143769.jpeg"/><Relationship Id="rId770" Type="http://schemas.openxmlformats.org/officeDocument/2006/relationships/image" Target="../media/08de5b77_4494_11f0_a750_047c1617b143_5dcd880a_5a46_11f0_a775_047c1617b143770.jpeg"/><Relationship Id="rId771" Type="http://schemas.openxmlformats.org/officeDocument/2006/relationships/image" Target="../media/08de5b79_4494_11f0_a750_047c1617b143_5dcd880b_5a46_11f0_a775_047c1617b143771.jpeg"/><Relationship Id="rId772" Type="http://schemas.openxmlformats.org/officeDocument/2006/relationships/image" Target="../media/08de5b7b_4494_11f0_a750_047c1617b143_5dcd880c_5a46_11f0_a775_047c1617b143772.jpeg"/><Relationship Id="rId773" Type="http://schemas.openxmlformats.org/officeDocument/2006/relationships/image" Target="../media/08de5b7d_4494_11f0_a750_047c1617b143_5dcd880d_5a46_11f0_a775_047c1617b143773.jpeg"/><Relationship Id="rId774" Type="http://schemas.openxmlformats.org/officeDocument/2006/relationships/image" Target="../media/08de5b7f_4494_11f0_a750_047c1617b143_5dcd8805_5a46_11f0_a775_047c1617b143774.jpeg"/><Relationship Id="rId775" Type="http://schemas.openxmlformats.org/officeDocument/2006/relationships/image" Target="../media/08de5b81_4494_11f0_a750_047c1617b143_5dcd8806_5a46_11f0_a775_047c1617b143775.jpeg"/><Relationship Id="rId776" Type="http://schemas.openxmlformats.org/officeDocument/2006/relationships/image" Target="../media/08de5b83_4494_11f0_a750_047c1617b143_5dcd8803_5a46_11f0_a775_047c1617b143776.jpeg"/><Relationship Id="rId777" Type="http://schemas.openxmlformats.org/officeDocument/2006/relationships/image" Target="../media/08de5b85_4494_11f0_a750_047c1617b143_5dcd8804_5a46_11f0_a775_047c1617b143777.jpeg"/><Relationship Id="rId778" Type="http://schemas.openxmlformats.org/officeDocument/2006/relationships/image" Target="../media/08de5b87_4494_11f0_a750_047c1617b143_5dcd87fb_5a46_11f0_a775_047c1617b143778.jpeg"/><Relationship Id="rId779" Type="http://schemas.openxmlformats.org/officeDocument/2006/relationships/image" Target="../media/08de5b89_4494_11f0_a750_047c1617b143_5dcd87fc_5a46_11f0_a775_047c1617b143779.jpeg"/><Relationship Id="rId780" Type="http://schemas.openxmlformats.org/officeDocument/2006/relationships/image" Target="../media/08de5b8b_4494_11f0_a750_047c1617b143_5dcd87fd_5a46_11f0_a775_047c1617b143780.jpeg"/><Relationship Id="rId781" Type="http://schemas.openxmlformats.org/officeDocument/2006/relationships/image" Target="../media/7188f298_86a5_11e9_8101_003048fd731b_1e8b5a6b_a595_11ee_a526_047c1617b143781.jpeg"/><Relationship Id="rId782" Type="http://schemas.openxmlformats.org/officeDocument/2006/relationships/image" Target="../media/7188f29c_86a5_11e9_8101_003048fd731b_1e8b5a6f_a595_11ee_a526_047c1617b143782.jpeg"/><Relationship Id="rId783" Type="http://schemas.openxmlformats.org/officeDocument/2006/relationships/image" Target="../media/7188f2a0_86a5_11e9_8101_003048fd731b_1e8b5a73_a595_11ee_a526_047c1617b143783.jpeg"/><Relationship Id="rId784" Type="http://schemas.openxmlformats.org/officeDocument/2006/relationships/image" Target="../media/7188f2a4_86a5_11e9_8101_003048fd731b_1e8b5a77_a595_11ee_a526_047c1617b143784.jpeg"/><Relationship Id="rId785" Type="http://schemas.openxmlformats.org/officeDocument/2006/relationships/image" Target="../media/7188f2a8_86a5_11e9_8101_003048fd731b_1e8b5a7b_a595_11ee_a526_047c1617b143785.jpeg"/><Relationship Id="rId786" Type="http://schemas.openxmlformats.org/officeDocument/2006/relationships/image" Target="../media/7188f2ac_86a5_11e9_8101_003048fd731b_2509cbaa_a595_11ee_a526_047c1617b143786.jpeg"/><Relationship Id="rId787" Type="http://schemas.openxmlformats.org/officeDocument/2006/relationships/image" Target="../media/7188f2b0_86a5_11e9_8101_003048fd731b_2509cbae_a595_11ee_a526_047c1617b143787.jpeg"/><Relationship Id="rId788" Type="http://schemas.openxmlformats.org/officeDocument/2006/relationships/image" Target="../media/7188f2b4_86a5_11e9_8101_003048fd731b_2509cbb2_a595_11ee_a526_047c1617b143788.jpeg"/><Relationship Id="rId789" Type="http://schemas.openxmlformats.org/officeDocument/2006/relationships/image" Target="../media/7188f2b8_86a5_11e9_8101_003048fd731b_2509cbb6_a595_11ee_a526_047c1617b143789.jpeg"/><Relationship Id="rId790" Type="http://schemas.openxmlformats.org/officeDocument/2006/relationships/image" Target="../media/7188f2bc_86a5_11e9_8101_003048fd731b_2509cbba_a595_11ee_a526_047c1617b143790.jpeg"/><Relationship Id="rId791" Type="http://schemas.openxmlformats.org/officeDocument/2006/relationships/image" Target="../media/7188f2c0_86a5_11e9_8101_003048fd731b_2509cbbe_a595_11ee_a526_047c1617b143791.jpeg"/><Relationship Id="rId792" Type="http://schemas.openxmlformats.org/officeDocument/2006/relationships/image" Target="../media/7188f2c4_86a5_11e9_8101_003048fd731b_2509cbc2_a595_11ee_a526_047c1617b143792.jpeg"/><Relationship Id="rId793" Type="http://schemas.openxmlformats.org/officeDocument/2006/relationships/image" Target="../media/7188f2c8_86a5_11e9_8101_003048fd731b_2509cbc6_a595_11ee_a526_047c1617b143793.jpeg"/><Relationship Id="rId794" Type="http://schemas.openxmlformats.org/officeDocument/2006/relationships/image" Target="../media/7188f2cc_86a5_11e9_8101_003048fd731b_2509cbca_a595_11ee_a526_047c1617b143794.jpeg"/><Relationship Id="rId795" Type="http://schemas.openxmlformats.org/officeDocument/2006/relationships/image" Target="../media/7188f2d0_86a5_11e9_8101_003048fd731b_2509cbce_a595_11ee_a526_047c1617b143795.jpeg"/><Relationship Id="rId796" Type="http://schemas.openxmlformats.org/officeDocument/2006/relationships/image" Target="../media/7188f2d4_86a5_11e9_8101_003048fd731b_2509cbd2_a595_11ee_a526_047c1617b143796.jpeg"/><Relationship Id="rId797" Type="http://schemas.openxmlformats.org/officeDocument/2006/relationships/image" Target="../media/7188f2d8_86a5_11e9_8101_003048fd731b_2509cbd6_a595_11ee_a526_047c1617b143797.jpeg"/><Relationship Id="rId798" Type="http://schemas.openxmlformats.org/officeDocument/2006/relationships/image" Target="../media/7188f2dc_86a5_11e9_8101_003048fd731b_2509cbda_a595_11ee_a526_047c1617b143798.jpeg"/><Relationship Id="rId799" Type="http://schemas.openxmlformats.org/officeDocument/2006/relationships/image" Target="../media/7188f2e0_86a5_11e9_8101_003048fd731b_2509cbde_a595_11ee_a526_047c1617b143799.jpeg"/><Relationship Id="rId800" Type="http://schemas.openxmlformats.org/officeDocument/2006/relationships/image" Target="../media/7188f2e4_86a5_11e9_8101_003048fd731b_2509cbe2_a595_11ee_a526_047c1617b143800.jpeg"/><Relationship Id="rId801" Type="http://schemas.openxmlformats.org/officeDocument/2006/relationships/image" Target="../media/7188f2e8_86a5_11e9_8101_003048fd731b_2509cbe6_a595_11ee_a526_047c1617b143801.jpeg"/><Relationship Id="rId802" Type="http://schemas.openxmlformats.org/officeDocument/2006/relationships/image" Target="../media/7188f2ec_86a5_11e9_8101_003048fd731b_2509cbea_a595_11ee_a526_047c1617b143802.jpeg"/><Relationship Id="rId803" Type="http://schemas.openxmlformats.org/officeDocument/2006/relationships/image" Target="../media/7188f2f0_86a5_11e9_8101_003048fd731b_2509cbf2_a595_11ee_a526_047c1617b143803.jpeg"/><Relationship Id="rId804" Type="http://schemas.openxmlformats.org/officeDocument/2006/relationships/image" Target="../media/7188f2f4_86a5_11e9_8101_003048fd731b_2509cbf6_a595_11ee_a526_047c1617b143804.jpeg"/><Relationship Id="rId805" Type="http://schemas.openxmlformats.org/officeDocument/2006/relationships/image" Target="../media/7188f2f8_86a5_11e9_8101_003048fd731b_2509cbfa_a595_11ee_a526_047c1617b143805.jpeg"/><Relationship Id="rId806" Type="http://schemas.openxmlformats.org/officeDocument/2006/relationships/image" Target="../media/7188f2fc_86a5_11e9_8101_003048fd731b_2509cbfe_a595_11ee_a526_047c1617b143806.jpeg"/><Relationship Id="rId807" Type="http://schemas.openxmlformats.org/officeDocument/2006/relationships/image" Target="../media/7188f300_86a5_11e9_8101_003048fd731b_2509cc02_a595_11ee_a526_047c1617b143807.jpeg"/><Relationship Id="rId808" Type="http://schemas.openxmlformats.org/officeDocument/2006/relationships/image" Target="../media/7188f304_86a5_11e9_8101_003048fd731b_2509cc06_a595_11ee_a526_047c1617b143808.jpeg"/><Relationship Id="rId809" Type="http://schemas.openxmlformats.org/officeDocument/2006/relationships/image" Target="../media/7188f308_86a5_11e9_8101_003048fd731b_2509cc0a_a595_11ee_a526_047c1617b143809.jpeg"/><Relationship Id="rId810" Type="http://schemas.openxmlformats.org/officeDocument/2006/relationships/image" Target="../media/7188f30c_86a5_11e9_8101_003048fd731b_2509cc0e_a595_11ee_a526_047c1617b143810.jpeg"/><Relationship Id="rId811" Type="http://schemas.openxmlformats.org/officeDocument/2006/relationships/image" Target="../media/7188f310_86a5_11e9_8101_003048fd731b_2509cc12_a595_11ee_a526_047c1617b143811.jpeg"/><Relationship Id="rId812" Type="http://schemas.openxmlformats.org/officeDocument/2006/relationships/image" Target="../media/7188f314_86a5_11e9_8101_003048fd731b_2509cc16_a595_11ee_a526_047c1617b143812.jpeg"/><Relationship Id="rId813" Type="http://schemas.openxmlformats.org/officeDocument/2006/relationships/image" Target="../media/7188f318_86a5_11e9_8101_003048fd731b_2509cc1a_a595_11ee_a526_047c1617b143813.jpeg"/><Relationship Id="rId814" Type="http://schemas.openxmlformats.org/officeDocument/2006/relationships/image" Target="../media/7188f31c_86a5_11e9_8101_003048fd731b_2509cc1e_a595_11ee_a526_047c1617b143814.jpeg"/><Relationship Id="rId815" Type="http://schemas.openxmlformats.org/officeDocument/2006/relationships/image" Target="../media/7188f320_86a5_11e9_8101_003048fd731b_2509cc22_a595_11ee_a526_047c1617b143815.jpeg"/><Relationship Id="rId816" Type="http://schemas.openxmlformats.org/officeDocument/2006/relationships/image" Target="../media/7188f324_86a5_11e9_8101_003048fd731b_2509cc26_a595_11ee_a526_047c1617b143816.jpeg"/><Relationship Id="rId817" Type="http://schemas.openxmlformats.org/officeDocument/2006/relationships/image" Target="../media/7188f328_86a5_11e9_8101_003048fd731b_2509cc2a_a595_11ee_a526_047c1617b143817.jpeg"/><Relationship Id="rId818" Type="http://schemas.openxmlformats.org/officeDocument/2006/relationships/image" Target="../media/77dee6ce_86a5_11e9_8101_003048fd731b_2509cc2e_a595_11ee_a526_047c1617b143818.jpeg"/><Relationship Id="rId819" Type="http://schemas.openxmlformats.org/officeDocument/2006/relationships/image" Target="../media/77dee6d2_86a5_11e9_8101_003048fd731b_2509cc32_a595_11ee_a526_047c1617b143819.jpeg"/><Relationship Id="rId820" Type="http://schemas.openxmlformats.org/officeDocument/2006/relationships/image" Target="../media/77dee6d6_86a5_11e9_8101_003048fd731b_2509cc36_a595_11ee_a526_047c1617b143820.jpeg"/><Relationship Id="rId821" Type="http://schemas.openxmlformats.org/officeDocument/2006/relationships/image" Target="../media/77dee6da_86a5_11e9_8101_003048fd731b_2509cc3a_a595_11ee_a526_047c1617b143821.jpeg"/><Relationship Id="rId822" Type="http://schemas.openxmlformats.org/officeDocument/2006/relationships/image" Target="../media/77dee6de_86a5_11e9_8101_003048fd731b_2509cc42_a595_11ee_a526_047c1617b143822.jpeg"/><Relationship Id="rId823" Type="http://schemas.openxmlformats.org/officeDocument/2006/relationships/image" Target="../media/77dee6e2_86a5_11e9_8101_003048fd731b_2509cc46_a595_11ee_a526_047c1617b143823.jpeg"/><Relationship Id="rId824" Type="http://schemas.openxmlformats.org/officeDocument/2006/relationships/image" Target="../media/77dee6e6_86a5_11e9_8101_003048fd731b_2509cc4a_a595_11ee_a526_047c1617b143824.jpeg"/><Relationship Id="rId825" Type="http://schemas.openxmlformats.org/officeDocument/2006/relationships/image" Target="../media/77dee6ea_86a5_11e9_8101_003048fd731b_2509cc4e_a595_11ee_a526_047c1617b143825.jpeg"/><Relationship Id="rId826" Type="http://schemas.openxmlformats.org/officeDocument/2006/relationships/image" Target="../media/77dee6ee_86a5_11e9_8101_003048fd731b_2509cc52_a595_11ee_a526_047c1617b143826.jpeg"/><Relationship Id="rId827" Type="http://schemas.openxmlformats.org/officeDocument/2006/relationships/image" Target="../media/77dee6f2_86a5_11e9_8101_003048fd731b_2509cc56_a595_11ee_a526_047c1617b143827.jpeg"/><Relationship Id="rId828" Type="http://schemas.openxmlformats.org/officeDocument/2006/relationships/image" Target="../media/77dee6f6_86a5_11e9_8101_003048fd731b_2509cc5a_a595_11ee_a526_047c1617b143828.jpeg"/><Relationship Id="rId829" Type="http://schemas.openxmlformats.org/officeDocument/2006/relationships/image" Target="../media/77dee6fa_86a5_11e9_8101_003048fd731b_2509cc5e_a595_11ee_a526_047c1617b143829.jpeg"/><Relationship Id="rId830" Type="http://schemas.openxmlformats.org/officeDocument/2006/relationships/image" Target="../media/77dee6fe_86a5_11e9_8101_003048fd731b_2509cc62_a595_11ee_a526_047c1617b143830.jpeg"/><Relationship Id="rId831" Type="http://schemas.openxmlformats.org/officeDocument/2006/relationships/image" Target="../media/77dee702_86a5_11e9_8101_003048fd731b_2509cc66_a595_11ee_a526_047c1617b143831.jpeg"/><Relationship Id="rId832" Type="http://schemas.openxmlformats.org/officeDocument/2006/relationships/image" Target="../media/77dee706_86a5_11e9_8101_003048fd731b_2509cc6a_a595_11ee_a526_047c1617b143832.jpeg"/><Relationship Id="rId833" Type="http://schemas.openxmlformats.org/officeDocument/2006/relationships/image" Target="../media/77dee70a_86a5_11e9_8101_003048fd731b_2509cc6e_a595_11ee_a526_047c1617b143833.jpeg"/><Relationship Id="rId834" Type="http://schemas.openxmlformats.org/officeDocument/2006/relationships/image" Target="../media/77dee70e_86a5_11e9_8101_003048fd731b_2509cc72_a595_11ee_a526_047c1617b143834.jpeg"/><Relationship Id="rId835" Type="http://schemas.openxmlformats.org/officeDocument/2006/relationships/image" Target="../media/77dee712_86a5_11e9_8101_003048fd731b_2509cc76_a595_11ee_a526_047c1617b143835.jpeg"/><Relationship Id="rId836" Type="http://schemas.openxmlformats.org/officeDocument/2006/relationships/image" Target="../media/77dee716_86a5_11e9_8101_003048fd731b_2509cc7a_a595_11ee_a526_047c1617b143836.jpeg"/><Relationship Id="rId837" Type="http://schemas.openxmlformats.org/officeDocument/2006/relationships/image" Target="../media/77dee71a_86a5_11e9_8101_003048fd731b_2509cc7e_a595_11ee_a526_047c1617b143837.jpeg"/><Relationship Id="rId838" Type="http://schemas.openxmlformats.org/officeDocument/2006/relationships/image" Target="../media/77dee71e_86a5_11e9_8101_003048fd731b_2509cc82_a595_11ee_a526_047c1617b143838.jpeg"/><Relationship Id="rId839" Type="http://schemas.openxmlformats.org/officeDocument/2006/relationships/image" Target="../media/77dee722_86a5_11e9_8101_003048fd731b_2509cc86_a595_11ee_a526_047c1617b143839.jpeg"/><Relationship Id="rId840" Type="http://schemas.openxmlformats.org/officeDocument/2006/relationships/image" Target="../media/77dee726_86a5_11e9_8101_003048fd731b_2509cc8a_a595_11ee_a526_047c1617b143840.jpeg"/><Relationship Id="rId841" Type="http://schemas.openxmlformats.org/officeDocument/2006/relationships/image" Target="../media/77dee72a_86a5_11e9_8101_003048fd731b_2509cc8e_a595_11ee_a526_047c1617b143841.jpeg"/><Relationship Id="rId842" Type="http://schemas.openxmlformats.org/officeDocument/2006/relationships/image" Target="../media/77dee72e_86a5_11e9_8101_003048fd731b_2509cc92_a595_11ee_a526_047c1617b143842.jpeg"/><Relationship Id="rId843" Type="http://schemas.openxmlformats.org/officeDocument/2006/relationships/image" Target="../media/77dee732_86a5_11e9_8101_003048fd731b_2509cc96_a595_11ee_a526_047c1617b143843.jpeg"/><Relationship Id="rId844" Type="http://schemas.openxmlformats.org/officeDocument/2006/relationships/image" Target="../media/77dee736_86a5_11e9_8101_003048fd731b_2509cc9a_a595_11ee_a526_047c1617b143844.jpeg"/><Relationship Id="rId845" Type="http://schemas.openxmlformats.org/officeDocument/2006/relationships/image" Target="../media/77dee73a_86a5_11e9_8101_003048fd731b_2509cc9e_a595_11ee_a526_047c1617b143845.jpeg"/><Relationship Id="rId846" Type="http://schemas.openxmlformats.org/officeDocument/2006/relationships/image" Target="../media/77dee73e_86a5_11e9_8101_003048fd731b_2509cca2_a595_11ee_a526_047c1617b143846.jpeg"/><Relationship Id="rId847" Type="http://schemas.openxmlformats.org/officeDocument/2006/relationships/image" Target="../media/77dee742_86a5_11e9_8101_003048fd731b_2509cca6_a595_11ee_a526_047c1617b143847.jpeg"/><Relationship Id="rId848" Type="http://schemas.openxmlformats.org/officeDocument/2006/relationships/image" Target="../media/77dee746_86a5_11e9_8101_003048fd731b_2509ccaa_a595_11ee_a526_047c1617b143848.jpeg"/><Relationship Id="rId849" Type="http://schemas.openxmlformats.org/officeDocument/2006/relationships/image" Target="../media/77dee74a_86a5_11e9_8101_003048fd731b_2509ccae_a595_11ee_a526_047c1617b143849.jpeg"/><Relationship Id="rId850" Type="http://schemas.openxmlformats.org/officeDocument/2006/relationships/image" Target="../media/77dee74d_86a5_11e9_8101_003048fd731b_2509ccb2_a595_11ee_a526_047c1617b143850.jpeg"/><Relationship Id="rId851" Type="http://schemas.openxmlformats.org/officeDocument/2006/relationships/image" Target="../media/77dee751_86a5_11e9_8101_003048fd731b_2509ccb6_a595_11ee_a526_047c1617b143851.jpeg"/><Relationship Id="rId852" Type="http://schemas.openxmlformats.org/officeDocument/2006/relationships/image" Target="../media/77dee754_86a5_11e9_8101_003048fd731b_2509ccba_a595_11ee_a526_047c1617b143852.jpeg"/><Relationship Id="rId853" Type="http://schemas.openxmlformats.org/officeDocument/2006/relationships/image" Target="../media/77dee758_86a5_11e9_8101_003048fd731b_2509ccbe_a595_11ee_a526_047c1617b143853.jpeg"/><Relationship Id="rId854" Type="http://schemas.openxmlformats.org/officeDocument/2006/relationships/image" Target="../media/77dee75c_86a5_11e9_8101_003048fd731b_2509ccc2_a595_11ee_a526_047c1617b143854.jpeg"/><Relationship Id="rId855" Type="http://schemas.openxmlformats.org/officeDocument/2006/relationships/image" Target="../media/77dee760_86a5_11e9_8101_003048fd731b_2509ccc6_a595_11ee_a526_047c1617b143855.jpeg"/><Relationship Id="rId856" Type="http://schemas.openxmlformats.org/officeDocument/2006/relationships/image" Target="../media/77dee764_86a5_11e9_8101_003048fd731b_2509ccca_a595_11ee_a526_047c1617b143856.jpeg"/><Relationship Id="rId857" Type="http://schemas.openxmlformats.org/officeDocument/2006/relationships/image" Target="../media/77dee768_86a5_11e9_8101_003048fd731b_2509ccce_a595_11ee_a526_047c1617b143857.jpeg"/><Relationship Id="rId858" Type="http://schemas.openxmlformats.org/officeDocument/2006/relationships/image" Target="../media/77dee76b_86a5_11e9_8101_003048fd731b_2509ccd2_a595_11ee_a526_047c1617b143858.jpeg"/><Relationship Id="rId859" Type="http://schemas.openxmlformats.org/officeDocument/2006/relationships/image" Target="../media/77dee76e_86a5_11e9_8101_003048fd731b_2509ccd6_a595_11ee_a526_047c1617b143859.jpeg"/><Relationship Id="rId860" Type="http://schemas.openxmlformats.org/officeDocument/2006/relationships/image" Target="../media/77dee771_86a5_11e9_8101_003048fd731b_2509ccda_a595_11ee_a526_047c1617b143860.jpeg"/><Relationship Id="rId861" Type="http://schemas.openxmlformats.org/officeDocument/2006/relationships/image" Target="../media/77dee775_86a5_11e9_8101_003048fd731b_2509ccde_a595_11ee_a526_047c1617b143861.jpeg"/><Relationship Id="rId862" Type="http://schemas.openxmlformats.org/officeDocument/2006/relationships/image" Target="../media/77dee779_86a5_11e9_8101_003048fd731b_2509cce2_a595_11ee_a526_047c1617b143862.jpeg"/><Relationship Id="rId863" Type="http://schemas.openxmlformats.org/officeDocument/2006/relationships/image" Target="../media/77dee77d_86a5_11e9_8101_003048fd731b_2509cce6_a595_11ee_a526_047c1617b143863.jpeg"/><Relationship Id="rId864" Type="http://schemas.openxmlformats.org/officeDocument/2006/relationships/image" Target="../media/77dee781_86a5_11e9_8101_003048fd731b_2509ccea_a595_11ee_a526_047c1617b143864.jpeg"/><Relationship Id="rId865" Type="http://schemas.openxmlformats.org/officeDocument/2006/relationships/image" Target="../media/77dee785_86a5_11e9_8101_003048fd731b_2509ccee_a595_11ee_a526_047c1617b143865.jpeg"/><Relationship Id="rId866" Type="http://schemas.openxmlformats.org/officeDocument/2006/relationships/image" Target="../media/77dee789_86a5_11e9_8101_003048fd731b_2509ccf2_a595_11ee_a526_047c1617b143866.jpeg"/><Relationship Id="rId867" Type="http://schemas.openxmlformats.org/officeDocument/2006/relationships/image" Target="../media/77dee78d_86a5_11e9_8101_003048fd731b_2509ccf6_a595_11ee_a526_047c1617b143867.jpeg"/><Relationship Id="rId868" Type="http://schemas.openxmlformats.org/officeDocument/2006/relationships/image" Target="../media/77dee791_86a5_11e9_8101_003048fd731b_2509ccfa_a595_11ee_a526_047c1617b143868.jpeg"/><Relationship Id="rId869" Type="http://schemas.openxmlformats.org/officeDocument/2006/relationships/image" Target="../media/77dee795_86a5_11e9_8101_003048fd731b_2509ccfb_a595_11ee_a526_047c1617b143869.jpeg"/><Relationship Id="rId870" Type="http://schemas.openxmlformats.org/officeDocument/2006/relationships/image" Target="../media/77dee799_86a5_11e9_8101_003048fd731b_2509ccfc_a595_11ee_a526_047c1617b143870.jpeg"/><Relationship Id="rId871" Type="http://schemas.openxmlformats.org/officeDocument/2006/relationships/image" Target="../media/77dee79d_86a5_11e9_8101_003048fd731b_2509ccfd_a595_11ee_a526_047c1617b143871.jpeg"/><Relationship Id="rId872" Type="http://schemas.openxmlformats.org/officeDocument/2006/relationships/image" Target="../media/77dee7a1_86a5_11e9_8101_003048fd731b_2509cd01_a595_11ee_a526_047c1617b143872.jpeg"/><Relationship Id="rId873" Type="http://schemas.openxmlformats.org/officeDocument/2006/relationships/image" Target="../media/77dee7a5_86a5_11e9_8101_003048fd731b_2509cd05_a595_11ee_a526_047c1617b143873.jpeg"/><Relationship Id="rId874" Type="http://schemas.openxmlformats.org/officeDocument/2006/relationships/image" Target="../media/77dee7a9_86a5_11e9_8101_003048fd731b_2509cd09_a595_11ee_a526_047c1617b143874.jpeg"/><Relationship Id="rId875" Type="http://schemas.openxmlformats.org/officeDocument/2006/relationships/image" Target="../media/77dee7ad_86a5_11e9_8101_003048fd731b_2509cd0d_a595_11ee_a526_047c1617b143875.jpeg"/><Relationship Id="rId876" Type="http://schemas.openxmlformats.org/officeDocument/2006/relationships/image" Target="../media/77dee7b1_86a5_11e9_8101_003048fd731b_2509cd11_a595_11ee_a526_047c1617b143876.jpeg"/><Relationship Id="rId877" Type="http://schemas.openxmlformats.org/officeDocument/2006/relationships/image" Target="../media/77dee7b5_86a5_11e9_8101_003048fd731b_2509cd15_a595_11ee_a526_047c1617b143877.jpeg"/><Relationship Id="rId878" Type="http://schemas.openxmlformats.org/officeDocument/2006/relationships/image" Target="../media/77dee7b9_86a5_11e9_8101_003048fd731b_2509cd19_a595_11ee_a526_047c1617b143878.jpeg"/><Relationship Id="rId879" Type="http://schemas.openxmlformats.org/officeDocument/2006/relationships/image" Target="../media/77dee7bd_86a5_11e9_8101_003048fd731b_2509cd1d_a595_11ee_a526_047c1617b143879.jpeg"/><Relationship Id="rId880" Type="http://schemas.openxmlformats.org/officeDocument/2006/relationships/image" Target="../media/77dee7c1_86a5_11e9_8101_003048fd731b_2509cd21_a595_11ee_a526_047c1617b143880.jpeg"/><Relationship Id="rId881" Type="http://schemas.openxmlformats.org/officeDocument/2006/relationships/image" Target="../media/77dee7c5_86a5_11e9_8101_003048fd731b_2509cd2d_a595_11ee_a526_047c1617b143881.jpeg"/><Relationship Id="rId882" Type="http://schemas.openxmlformats.org/officeDocument/2006/relationships/image" Target="../media/77dee7c9_86a5_11e9_8101_003048fd731b_2509cd31_a595_11ee_a526_047c1617b143882.jpeg"/><Relationship Id="rId883" Type="http://schemas.openxmlformats.org/officeDocument/2006/relationships/image" Target="../media/77dee7cd_86a5_11e9_8101_003048fd731b_2509cd25_a595_11ee_a526_047c1617b143883.jpeg"/><Relationship Id="rId884" Type="http://schemas.openxmlformats.org/officeDocument/2006/relationships/image" Target="../media/77dee7d1_86a5_11e9_8101_003048fd731b_2509cd29_a595_11ee_a526_047c1617b143884.jpeg"/><Relationship Id="rId885" Type="http://schemas.openxmlformats.org/officeDocument/2006/relationships/image" Target="../media/77dee7d5_86a5_11e9_8101_003048fd731b_2509cd35_a595_11ee_a526_047c1617b143885.jpeg"/><Relationship Id="rId886" Type="http://schemas.openxmlformats.org/officeDocument/2006/relationships/image" Target="../media/77dee7d9_86a5_11e9_8101_003048fd731b_2509cd39_a595_11ee_a526_047c1617b143886.jpeg"/><Relationship Id="rId887" Type="http://schemas.openxmlformats.org/officeDocument/2006/relationships/image" Target="../media/77dee7dd_86a5_11e9_8101_003048fd731b_2509cd3d_a595_11ee_a526_047c1617b143887.jpeg"/><Relationship Id="rId888" Type="http://schemas.openxmlformats.org/officeDocument/2006/relationships/image" Target="../media/77dee7e1_86a5_11e9_8101_003048fd731b_2509cd41_a595_11ee_a526_047c1617b143888.jpeg"/><Relationship Id="rId889" Type="http://schemas.openxmlformats.org/officeDocument/2006/relationships/image" Target="../media/77dee7e5_86a5_11e9_8101_003048fd731b_2509cd45_a595_11ee_a526_047c1617b143889.jpeg"/><Relationship Id="rId890" Type="http://schemas.openxmlformats.org/officeDocument/2006/relationships/image" Target="../media/77dee7e9_86a5_11e9_8101_003048fd731b_2509cd49_a595_11ee_a526_047c1617b143890.jpeg"/><Relationship Id="rId891" Type="http://schemas.openxmlformats.org/officeDocument/2006/relationships/image" Target="../media/77dee7ed_86a5_11e9_8101_003048fd731b_2509cd4d_a595_11ee_a526_047c1617b143891.jpeg"/><Relationship Id="rId892" Type="http://schemas.openxmlformats.org/officeDocument/2006/relationships/image" Target="../media/77dee7f1_86a5_11e9_8101_003048fd731b_2509cd51_a595_11ee_a526_047c1617b143892.jpeg"/><Relationship Id="rId893" Type="http://schemas.openxmlformats.org/officeDocument/2006/relationships/image" Target="../media/77dee7f5_86a5_11e9_8101_003048fd731b_2509cd55_a595_11ee_a526_047c1617b143893.jpeg"/><Relationship Id="rId894" Type="http://schemas.openxmlformats.org/officeDocument/2006/relationships/image" Target="../media/77dee7f9_86a5_11e9_8101_003048fd731b_2509cd59_a595_11ee_a526_047c1617b143894.jpeg"/><Relationship Id="rId895" Type="http://schemas.openxmlformats.org/officeDocument/2006/relationships/image" Target="../media/77dee7fd_86a5_11e9_8101_003048fd731b_2509cd5d_a595_11ee_a526_047c1617b143895.jpeg"/><Relationship Id="rId896" Type="http://schemas.openxmlformats.org/officeDocument/2006/relationships/image" Target="../media/77dee801_86a5_11e9_8101_003048fd731b_2509cd61_a595_11ee_a526_047c1617b143896.jpeg"/><Relationship Id="rId897" Type="http://schemas.openxmlformats.org/officeDocument/2006/relationships/image" Target="../media/77dee805_86a5_11e9_8101_003048fd731b_2509cd65_a595_11ee_a526_047c1617b143897.jpeg"/><Relationship Id="rId898" Type="http://schemas.openxmlformats.org/officeDocument/2006/relationships/image" Target="../media/77dee809_86a5_11e9_8101_003048fd731b_2509cd69_a595_11ee_a526_047c1617b143898.jpeg"/><Relationship Id="rId899" Type="http://schemas.openxmlformats.org/officeDocument/2006/relationships/image" Target="../media/77dee80d_86a5_11e9_8101_003048fd731b_2509cd6d_a595_11ee_a526_047c1617b143899.jpeg"/><Relationship Id="rId900" Type="http://schemas.openxmlformats.org/officeDocument/2006/relationships/image" Target="../media/77dee811_86a5_11e9_8101_003048fd731b_2509cd71_a595_11ee_a526_047c1617b143900.jpeg"/><Relationship Id="rId901" Type="http://schemas.openxmlformats.org/officeDocument/2006/relationships/image" Target="../media/77dee815_86a5_11e9_8101_003048fd731b_2509cd75_a595_11ee_a526_047c1617b143901.jpeg"/><Relationship Id="rId902" Type="http://schemas.openxmlformats.org/officeDocument/2006/relationships/image" Target="../media/77dee819_86a5_11e9_8101_003048fd731b_2509cd79_a595_11ee_a526_047c1617b143902.jpeg"/><Relationship Id="rId903" Type="http://schemas.openxmlformats.org/officeDocument/2006/relationships/image" Target="../media/77dee81c_86a5_11e9_8101_003048fd731b_2509cd7d_a595_11ee_a526_047c1617b143903.jpeg"/><Relationship Id="rId904" Type="http://schemas.openxmlformats.org/officeDocument/2006/relationships/image" Target="../media/77dee820_86a5_11e9_8101_003048fd731b_2509cd81_a595_11ee_a526_047c1617b143904.jpeg"/><Relationship Id="rId905" Type="http://schemas.openxmlformats.org/officeDocument/2006/relationships/image" Target="../media/77dee824_86a5_11e9_8101_003048fd731b_2509cd84_a595_11ee_a526_047c1617b143905.jpeg"/><Relationship Id="rId906" Type="http://schemas.openxmlformats.org/officeDocument/2006/relationships/image" Target="../media/77dee828_86a5_11e9_8101_003048fd731b_2509cd87_a595_11ee_a526_047c1617b143906.jpeg"/><Relationship Id="rId907" Type="http://schemas.openxmlformats.org/officeDocument/2006/relationships/image" Target="../media/77dee82c_86a5_11e9_8101_003048fd731b_2509cd8a_a595_11ee_a526_047c1617b143907.jpeg"/><Relationship Id="rId908" Type="http://schemas.openxmlformats.org/officeDocument/2006/relationships/image" Target="../media/77dee830_86a5_11e9_8101_003048fd731b_2509cd8d_a595_11ee_a526_047c1617b143908.jpeg"/><Relationship Id="rId909" Type="http://schemas.openxmlformats.org/officeDocument/2006/relationships/image" Target="../media/77dee834_86a5_11e9_8101_003048fd731b_2509cd90_a595_11ee_a526_047c1617b143909.jpeg"/><Relationship Id="rId910" Type="http://schemas.openxmlformats.org/officeDocument/2006/relationships/image" Target="../media/77dee838_86a5_11e9_8101_003048fd731b_2509cd93_a595_11ee_a526_047c1617b143910.jpeg"/><Relationship Id="rId911" Type="http://schemas.openxmlformats.org/officeDocument/2006/relationships/image" Target="../media/77dee83c_86a5_11e9_8101_003048fd731b_2509cd99_a595_11ee_a526_047c1617b143911.jpeg"/><Relationship Id="rId912" Type="http://schemas.openxmlformats.org/officeDocument/2006/relationships/image" Target="../media/77dee840_86a5_11e9_8101_003048fd731b_2509cd9d_a595_11ee_a526_047c1617b143912.jpeg"/><Relationship Id="rId913" Type="http://schemas.openxmlformats.org/officeDocument/2006/relationships/image" Target="../media/77dee844_86a5_11e9_8101_003048fd731b_2509cda1_a595_11ee_a526_047c1617b143913.jpeg"/><Relationship Id="rId914" Type="http://schemas.openxmlformats.org/officeDocument/2006/relationships/image" Target="../media/77dee848_86a5_11e9_8101_003048fd731b_2509cda5_a595_11ee_a526_047c1617b143914.jpeg"/><Relationship Id="rId915" Type="http://schemas.openxmlformats.org/officeDocument/2006/relationships/image" Target="../media/77dee84c_86a5_11e9_8101_003048fd731b_2b2de681_a595_11ee_a526_047c1617b143915.jpeg"/><Relationship Id="rId916" Type="http://schemas.openxmlformats.org/officeDocument/2006/relationships/image" Target="../media/7dda82ca_86a5_11e9_8101_003048fd731b_2b2de685_a595_11ee_a526_047c1617b143916.jpeg"/><Relationship Id="rId917" Type="http://schemas.openxmlformats.org/officeDocument/2006/relationships/image" Target="../media/7dda82ce_86a5_11e9_8101_003048fd731b_2b2de689_a595_11ee_a526_047c1617b143917.jpeg"/><Relationship Id="rId918" Type="http://schemas.openxmlformats.org/officeDocument/2006/relationships/image" Target="../media/7dda82d2_86a5_11e9_8101_003048fd731b_2b2de691_a595_11ee_a526_047c1617b143918.jpeg"/><Relationship Id="rId919" Type="http://schemas.openxmlformats.org/officeDocument/2006/relationships/image" Target="../media/7dda82d6_86a5_11e9_8101_003048fd731b_2b2de695_a595_11ee_a526_047c1617b143919.jpeg"/><Relationship Id="rId920" Type="http://schemas.openxmlformats.org/officeDocument/2006/relationships/image" Target="../media/7dda82da_86a5_11e9_8101_003048fd731b_2b2de699_a595_11ee_a526_047c1617b143920.jpeg"/><Relationship Id="rId921" Type="http://schemas.openxmlformats.org/officeDocument/2006/relationships/image" Target="../media/7dda82de_86a5_11e9_8101_003048fd731b_2b2de69d_a595_11ee_a526_047c1617b143921.jpeg"/><Relationship Id="rId922" Type="http://schemas.openxmlformats.org/officeDocument/2006/relationships/image" Target="../media/7dda82e2_86a5_11e9_8101_003048fd731b_2b2de6a1_a595_11ee_a526_047c1617b143922.jpeg"/><Relationship Id="rId923" Type="http://schemas.openxmlformats.org/officeDocument/2006/relationships/image" Target="../media/7dda82e6_86a5_11e9_8101_003048fd731b_2b2de6a5_a595_11ee_a526_047c1617b143923.jpeg"/><Relationship Id="rId924" Type="http://schemas.openxmlformats.org/officeDocument/2006/relationships/image" Target="../media/7dda82ea_86a5_11e9_8101_003048fd731b_2b2de6a9_a595_11ee_a526_047c1617b143924.jpeg"/><Relationship Id="rId925" Type="http://schemas.openxmlformats.org/officeDocument/2006/relationships/image" Target="../media/7dda82ee_86a5_11e9_8101_003048fd731b_2b2de6ad_a595_11ee_a526_047c1617b143925.jpeg"/><Relationship Id="rId926" Type="http://schemas.openxmlformats.org/officeDocument/2006/relationships/image" Target="../media/7dda82f2_86a5_11e9_8101_003048fd731b_2b2de6b1_a595_11ee_a526_047c1617b143926.jpeg"/><Relationship Id="rId927" Type="http://schemas.openxmlformats.org/officeDocument/2006/relationships/image" Target="../media/7dda82f6_86a5_11e9_8101_003048fd731b_2b2de6b5_a595_11ee_a526_047c1617b143927.jpeg"/><Relationship Id="rId928" Type="http://schemas.openxmlformats.org/officeDocument/2006/relationships/image" Target="../media/7dda82fa_86a5_11e9_8101_003048fd731b_2b2de6b9_a595_11ee_a526_047c1617b143928.jpeg"/><Relationship Id="rId929" Type="http://schemas.openxmlformats.org/officeDocument/2006/relationships/image" Target="../media/7dda82fe_86a5_11e9_8101_003048fd731b_2b2de6bd_a595_11ee_a526_047c1617b143929.jpeg"/><Relationship Id="rId930" Type="http://schemas.openxmlformats.org/officeDocument/2006/relationships/image" Target="../media/7dda8302_86a5_11e9_8101_003048fd731b_2b2de6c1_a595_11ee_a526_047c1617b143930.jpeg"/><Relationship Id="rId931" Type="http://schemas.openxmlformats.org/officeDocument/2006/relationships/image" Target="../media/7dda8306_86a5_11e9_8101_003048fd731b_2b2de6c5_a595_11ee_a526_047c1617b143931.jpeg"/><Relationship Id="rId932" Type="http://schemas.openxmlformats.org/officeDocument/2006/relationships/image" Target="../media/7dda830a_86a5_11e9_8101_003048fd731b_2b2de6c9_a595_11ee_a526_047c1617b143932.jpeg"/><Relationship Id="rId933" Type="http://schemas.openxmlformats.org/officeDocument/2006/relationships/image" Target="../media/7dda830e_86a5_11e9_8101_003048fd731b_2b2de6cd_a595_11ee_a526_047c1617b143933.jpeg"/><Relationship Id="rId934" Type="http://schemas.openxmlformats.org/officeDocument/2006/relationships/image" Target="../media/7dda8312_86a5_11e9_8101_003048fd731b_2b2de6d1_a595_11ee_a526_047c1617b143934.jpeg"/><Relationship Id="rId935" Type="http://schemas.openxmlformats.org/officeDocument/2006/relationships/image" Target="../media/7dda8316_86a5_11e9_8101_003048fd731b_2b2de6d5_a595_11ee_a526_047c1617b143935.jpeg"/><Relationship Id="rId936" Type="http://schemas.openxmlformats.org/officeDocument/2006/relationships/image" Target="../media/7dda8319_86a5_11e9_8101_003048fd731b_2b2de6d9_a595_11ee_a526_047c1617b143936.jpeg"/><Relationship Id="rId937" Type="http://schemas.openxmlformats.org/officeDocument/2006/relationships/image" Target="../media/7dda831d_86a5_11e9_8101_003048fd731b_2b2de6dd_a595_11ee_a526_047c1617b143937.jpeg"/><Relationship Id="rId938" Type="http://schemas.openxmlformats.org/officeDocument/2006/relationships/image" Target="../media/7dda8320_86a5_11e9_8101_003048fd731b_2b2de6e1_a595_11ee_a526_047c1617b143938.jpeg"/><Relationship Id="rId939" Type="http://schemas.openxmlformats.org/officeDocument/2006/relationships/image" Target="../media/7dda8324_86a5_11e9_8101_003048fd731b_2b2de6e5_a595_11ee_a526_047c1617b143939.jpeg"/><Relationship Id="rId940" Type="http://schemas.openxmlformats.org/officeDocument/2006/relationships/image" Target="../media/7dda8327_86a5_11e9_8101_003048fd731b_2b2de6e9_a595_11ee_a526_047c1617b143940.jpeg"/><Relationship Id="rId941" Type="http://schemas.openxmlformats.org/officeDocument/2006/relationships/image" Target="../media/7dda832b_86a5_11e9_8101_003048fd731b_2b2de6ed_a595_11ee_a526_047c1617b143941.jpeg"/><Relationship Id="rId942" Type="http://schemas.openxmlformats.org/officeDocument/2006/relationships/image" Target="../media/7dda832e_86a5_11e9_8101_003048fd731b_2b2de6f1_a595_11ee_a526_047c1617b143942.jpeg"/><Relationship Id="rId943" Type="http://schemas.openxmlformats.org/officeDocument/2006/relationships/image" Target="../media/7dda8331_86a5_11e9_8101_003048fd731b_2b2de6f9_a595_11ee_a526_047c1617b143943.jpeg"/><Relationship Id="rId944" Type="http://schemas.openxmlformats.org/officeDocument/2006/relationships/image" Target="../media/7dda8335_86a5_11e9_8101_003048fd731b_2b2de6fd_a595_11ee_a526_047c1617b143944.jpeg"/><Relationship Id="rId945" Type="http://schemas.openxmlformats.org/officeDocument/2006/relationships/image" Target="../media/7dda8339_86a5_11e9_8101_003048fd731b_2b2de701_a595_11ee_a526_047c1617b143945.jpeg"/><Relationship Id="rId946" Type="http://schemas.openxmlformats.org/officeDocument/2006/relationships/image" Target="../media/7dda833d_86a5_11e9_8101_003048fd731b_2b2de705_a595_11ee_a526_047c1617b143946.jpeg"/><Relationship Id="rId947" Type="http://schemas.openxmlformats.org/officeDocument/2006/relationships/image" Target="../media/7dda8341_86a5_11e9_8101_003048fd731b_2b2de709_a595_11ee_a526_047c1617b143947.jpeg"/><Relationship Id="rId948" Type="http://schemas.openxmlformats.org/officeDocument/2006/relationships/image" Target="../media/7dda8345_86a5_11e9_8101_003048fd731b_2b2de70d_a595_11ee_a526_047c1617b143948.jpeg"/><Relationship Id="rId949" Type="http://schemas.openxmlformats.org/officeDocument/2006/relationships/image" Target="../media/7dda8349_86a5_11e9_8101_003048fd731b_2b2de711_a595_11ee_a526_047c1617b143949.jpeg"/><Relationship Id="rId950" Type="http://schemas.openxmlformats.org/officeDocument/2006/relationships/image" Target="../media/7dda834d_86a5_11e9_8101_003048fd731b_2b2de715_a595_11ee_a526_047c1617b143950.jpeg"/><Relationship Id="rId951" Type="http://schemas.openxmlformats.org/officeDocument/2006/relationships/image" Target="../media/7dda8351_86a5_11e9_8101_003048fd731b_2b2de719_a595_11ee_a526_047c1617b143951.jpeg"/><Relationship Id="rId952" Type="http://schemas.openxmlformats.org/officeDocument/2006/relationships/image" Target="../media/7dda8355_86a5_11e9_8101_003048fd731b_2b2de71d_a595_11ee_a526_047c1617b143952.jpeg"/><Relationship Id="rId953" Type="http://schemas.openxmlformats.org/officeDocument/2006/relationships/image" Target="../media/7dda8359_86a5_11e9_8101_003048fd731b_2b2de721_a595_11ee_a526_047c1617b143953.jpeg"/><Relationship Id="rId954" Type="http://schemas.openxmlformats.org/officeDocument/2006/relationships/image" Target="../media/7dda835d_86a5_11e9_8101_003048fd731b_2b2de725_a595_11ee_a526_047c1617b143954.jpeg"/><Relationship Id="rId955" Type="http://schemas.openxmlformats.org/officeDocument/2006/relationships/image" Target="../media/7dda8361_86a5_11e9_8101_003048fd731b_2b2de729_a595_11ee_a526_047c1617b143955.jpeg"/><Relationship Id="rId956" Type="http://schemas.openxmlformats.org/officeDocument/2006/relationships/image" Target="../media/7dda8365_86a5_11e9_8101_003048fd731b_2b2de72d_a595_11ee_a526_047c1617b143956.jpeg"/><Relationship Id="rId957" Type="http://schemas.openxmlformats.org/officeDocument/2006/relationships/image" Target="../media/7dda8369_86a5_11e9_8101_003048fd731b_2b2de731_a595_11ee_a526_047c1617b143957.jpeg"/><Relationship Id="rId958" Type="http://schemas.openxmlformats.org/officeDocument/2006/relationships/image" Target="../media/7dda836d_86a5_11e9_8101_003048fd731b_2b2de735_a595_11ee_a526_047c1617b143958.jpeg"/><Relationship Id="rId959" Type="http://schemas.openxmlformats.org/officeDocument/2006/relationships/image" Target="../media/7dda8370_86a5_11e9_8101_003048fd731b_2b2de739_a595_11ee_a526_047c1617b143959.jpeg"/><Relationship Id="rId960" Type="http://schemas.openxmlformats.org/officeDocument/2006/relationships/image" Target="../media/7dda8373_86a5_11e9_8101_003048fd731b_2b2de73d_a595_11ee_a526_047c1617b143960.jpeg"/><Relationship Id="rId961" Type="http://schemas.openxmlformats.org/officeDocument/2006/relationships/image" Target="../media/7dda8376_86a5_11e9_8101_003048fd731b_2b2de741_a595_11ee_a526_047c1617b143961.jpeg"/><Relationship Id="rId962" Type="http://schemas.openxmlformats.org/officeDocument/2006/relationships/image" Target="../media/7dda837a_86a5_11e9_8101_003048fd731b_2b2de745_a595_11ee_a526_047c1617b143962.jpeg"/><Relationship Id="rId963" Type="http://schemas.openxmlformats.org/officeDocument/2006/relationships/image" Target="../media/7dda837d_86a5_11e9_8101_003048fd731b_2b2de749_a595_11ee_a526_047c1617b143963.jpeg"/><Relationship Id="rId964" Type="http://schemas.openxmlformats.org/officeDocument/2006/relationships/image" Target="../media/7dda8381_86a5_11e9_8101_003048fd731b_2b2de74d_a595_11ee_a526_047c1617b143964.jpeg"/><Relationship Id="rId965" Type="http://schemas.openxmlformats.org/officeDocument/2006/relationships/image" Target="../media/7dda8385_86a5_11e9_8101_003048fd731b_2b2de751_a595_11ee_a526_047c1617b143965.jpeg"/><Relationship Id="rId966" Type="http://schemas.openxmlformats.org/officeDocument/2006/relationships/image" Target="../media/7dda8389_86a5_11e9_8101_003048fd731b_2b2de755_a595_11ee_a526_047c1617b143966.jpeg"/><Relationship Id="rId967" Type="http://schemas.openxmlformats.org/officeDocument/2006/relationships/image" Target="../media/7dda838d_86a5_11e9_8101_003048fd731b_2b2de759_a595_11ee_a526_047c1617b143967.jpeg"/><Relationship Id="rId968" Type="http://schemas.openxmlformats.org/officeDocument/2006/relationships/image" Target="../media/7dda8391_86a5_11e9_8101_003048fd731b_2b2de75d_a595_11ee_a526_047c1617b143968.jpeg"/><Relationship Id="rId969" Type="http://schemas.openxmlformats.org/officeDocument/2006/relationships/image" Target="../media/7dda8395_86a5_11e9_8101_003048fd731b_2b2de761_a595_11ee_a526_047c1617b143969.jpeg"/><Relationship Id="rId970" Type="http://schemas.openxmlformats.org/officeDocument/2006/relationships/image" Target="../media/7dda8399_86a5_11e9_8101_003048fd731b_2b2de765_a595_11ee_a526_047c1617b143970.jpeg"/><Relationship Id="rId971" Type="http://schemas.openxmlformats.org/officeDocument/2006/relationships/image" Target="../media/7dda839d_86a5_11e9_8101_003048fd731b_2b2de769_a595_11ee_a526_047c1617b143971.jpeg"/><Relationship Id="rId972" Type="http://schemas.openxmlformats.org/officeDocument/2006/relationships/image" Target="../media/7dda83a1_86a5_11e9_8101_003048fd731b_2b2de76d_a595_11ee_a526_047c1617b143972.jpeg"/><Relationship Id="rId973" Type="http://schemas.openxmlformats.org/officeDocument/2006/relationships/image" Target="../media/7dda83a5_86a5_11e9_8101_003048fd731b_2b2de771_a595_11ee_a526_047c1617b143973.jpeg"/><Relationship Id="rId974" Type="http://schemas.openxmlformats.org/officeDocument/2006/relationships/image" Target="../media/7dda83a8_86a5_11e9_8101_003048fd731b_2b2de775_a595_11ee_a526_047c1617b143974.jpeg"/><Relationship Id="rId975" Type="http://schemas.openxmlformats.org/officeDocument/2006/relationships/image" Target="../media/7dda83ab_86a5_11e9_8101_003048fd731b_2b2de77d_a595_11ee_a526_047c1617b143975.jpeg"/><Relationship Id="rId976" Type="http://schemas.openxmlformats.org/officeDocument/2006/relationships/image" Target="../media/7dda83af_86a5_11e9_8101_003048fd731b_2b2de781_a595_11ee_a526_047c1617b143976.jpeg"/><Relationship Id="rId977" Type="http://schemas.openxmlformats.org/officeDocument/2006/relationships/image" Target="../media/7dda83b3_86a5_11e9_8101_003048fd731b_2b2de785_a595_11ee_a526_047c1617b143977.jpeg"/><Relationship Id="rId978" Type="http://schemas.openxmlformats.org/officeDocument/2006/relationships/image" Target="../media/7dda83b7_86a5_11e9_8101_003048fd731b_2b2de789_a595_11ee_a526_047c1617b143978.jpeg"/><Relationship Id="rId979" Type="http://schemas.openxmlformats.org/officeDocument/2006/relationships/image" Target="../media/7dda83bb_86a5_11e9_8101_003048fd731b_2b2de78d_a595_11ee_a526_047c1617b143979.jpeg"/><Relationship Id="rId980" Type="http://schemas.openxmlformats.org/officeDocument/2006/relationships/image" Target="../media/7dda83bf_86a5_11e9_8101_003048fd731b_2b2de791_a595_11ee_a526_047c1617b143980.jpeg"/><Relationship Id="rId981" Type="http://schemas.openxmlformats.org/officeDocument/2006/relationships/image" Target="../media/7dda83c3_86a5_11e9_8101_003048fd731b_2b2de799_a595_11ee_a526_047c1617b143981.jpeg"/><Relationship Id="rId982" Type="http://schemas.openxmlformats.org/officeDocument/2006/relationships/image" Target="../media/7dda83c7_86a5_11e9_8101_003048fd731b_2b2de79d_a595_11ee_a526_047c1617b143982.jpeg"/><Relationship Id="rId983" Type="http://schemas.openxmlformats.org/officeDocument/2006/relationships/image" Target="../media/7dda83cb_86a5_11e9_8101_003048fd731b_2b2de7a1_a595_11ee_a526_047c1617b143983.jpeg"/><Relationship Id="rId984" Type="http://schemas.openxmlformats.org/officeDocument/2006/relationships/image" Target="../media/7dda83cf_86a5_11e9_8101_003048fd731b_2b2de7a5_a595_11ee_a526_047c1617b143984.jpeg"/><Relationship Id="rId985" Type="http://schemas.openxmlformats.org/officeDocument/2006/relationships/image" Target="../media/7dda83d3_86a5_11e9_8101_003048fd731b_2b2de7a9_a595_11ee_a526_047c1617b143985.jpeg"/><Relationship Id="rId986" Type="http://schemas.openxmlformats.org/officeDocument/2006/relationships/image" Target="../media/7dda83d7_86a5_11e9_8101_003048fd731b_2b2de7ad_a595_11ee_a526_047c1617b143986.jpeg"/><Relationship Id="rId987" Type="http://schemas.openxmlformats.org/officeDocument/2006/relationships/image" Target="../media/7dda83db_86a5_11e9_8101_003048fd731b_2b2de7b1_a595_11ee_a526_047c1617b143987.jpeg"/><Relationship Id="rId988" Type="http://schemas.openxmlformats.org/officeDocument/2006/relationships/image" Target="../media/7dda83df_86a5_11e9_8101_003048fd731b_2b2de7b5_a595_11ee_a526_047c1617b143988.jpeg"/><Relationship Id="rId989" Type="http://schemas.openxmlformats.org/officeDocument/2006/relationships/image" Target="../media/7dda83e3_86a5_11e9_8101_003048fd731b_2b2de7b9_a595_11ee_a526_047c1617b143989.jpeg"/><Relationship Id="rId990" Type="http://schemas.openxmlformats.org/officeDocument/2006/relationships/image" Target="../media/7dda83e7_86a5_11e9_8101_003048fd731b_2b2de7bd_a595_11ee_a526_047c1617b143990.jpeg"/><Relationship Id="rId991" Type="http://schemas.openxmlformats.org/officeDocument/2006/relationships/image" Target="../media/7dda83eb_86a5_11e9_8101_003048fd731b_2b2de7c1_a595_11ee_a526_047c1617b143991.jpeg"/><Relationship Id="rId992" Type="http://schemas.openxmlformats.org/officeDocument/2006/relationships/image" Target="../media/7dda83ef_86a5_11e9_8101_003048fd731b_2b2de7c5_a595_11ee_a526_047c1617b143992.jpeg"/><Relationship Id="rId993" Type="http://schemas.openxmlformats.org/officeDocument/2006/relationships/image" Target="../media/7dda83f3_86a5_11e9_8101_003048fd731b_2b2de7c9_a595_11ee_a526_047c1617b143993.jpeg"/><Relationship Id="rId994" Type="http://schemas.openxmlformats.org/officeDocument/2006/relationships/image" Target="../media/7dda83f7_86a5_11e9_8101_003048fd731b_2b2de7cd_a595_11ee_a526_047c1617b143994.jpeg"/><Relationship Id="rId995" Type="http://schemas.openxmlformats.org/officeDocument/2006/relationships/image" Target="../media/7dda83fb_86a5_11e9_8101_003048fd731b_2b2de7d1_a595_11ee_a526_047c1617b143995.jpeg"/><Relationship Id="rId996" Type="http://schemas.openxmlformats.org/officeDocument/2006/relationships/image" Target="../media/7dda83ff_86a5_11e9_8101_003048fd731b_2b2de7d5_a595_11ee_a526_047c1617b143996.jpeg"/><Relationship Id="rId997" Type="http://schemas.openxmlformats.org/officeDocument/2006/relationships/image" Target="../media/7dda8403_86a5_11e9_8101_003048fd731b_2b2de7d9_a595_11ee_a526_047c1617b143997.jpeg"/><Relationship Id="rId998" Type="http://schemas.openxmlformats.org/officeDocument/2006/relationships/image" Target="../media/7dda8407_86a5_11e9_8101_003048fd731b_2b2de7dd_a595_11ee_a526_047c1617b143998.jpeg"/><Relationship Id="rId999" Type="http://schemas.openxmlformats.org/officeDocument/2006/relationships/image" Target="../media/7dda840b_86a5_11e9_8101_003048fd731b_2b2de7e1_a595_11ee_a526_047c1617b143999.jpeg"/><Relationship Id="rId1000" Type="http://schemas.openxmlformats.org/officeDocument/2006/relationships/image" Target="../media/7dda840f_86a5_11e9_8101_003048fd731b_2b2de7e5_a595_11ee_a526_047c1617b1431000.jpeg"/><Relationship Id="rId1001" Type="http://schemas.openxmlformats.org/officeDocument/2006/relationships/image" Target="../media/7dda8412_86a5_11e9_8101_003048fd731b_2b2de7e9_a595_11ee_a526_047c1617b1431001.jpeg"/><Relationship Id="rId1002" Type="http://schemas.openxmlformats.org/officeDocument/2006/relationships/image" Target="../media/7dda8416_86a5_11e9_8101_003048fd731b_2b2de7ed_a595_11ee_a526_047c1617b1431002.jpeg"/><Relationship Id="rId1003" Type="http://schemas.openxmlformats.org/officeDocument/2006/relationships/image" Target="../media/7dda841a_86a5_11e9_8101_003048fd731b_2b2de7f1_a595_11ee_a526_047c1617b1431003.jpeg"/><Relationship Id="rId1004" Type="http://schemas.openxmlformats.org/officeDocument/2006/relationships/image" Target="../media/7dda841e_86a5_11e9_8101_003048fd731b_2b2de7f5_a595_11ee_a526_047c1617b1431004.jpeg"/><Relationship Id="rId1005" Type="http://schemas.openxmlformats.org/officeDocument/2006/relationships/image" Target="../media/7dda8422_86a5_11e9_8101_003048fd731b_2b2de7f9_a595_11ee_a526_047c1617b1431005.jpeg"/><Relationship Id="rId1006" Type="http://schemas.openxmlformats.org/officeDocument/2006/relationships/image" Target="../media/7dda8426_86a5_11e9_8101_003048fd731b_2b2de7fd_a595_11ee_a526_047c1617b1431006.jpeg"/><Relationship Id="rId1007" Type="http://schemas.openxmlformats.org/officeDocument/2006/relationships/image" Target="../media/7dda842a_86a5_11e9_8101_003048fd731b_2b2de801_a595_11ee_a526_047c1617b1431007.jpeg"/><Relationship Id="rId1008" Type="http://schemas.openxmlformats.org/officeDocument/2006/relationships/image" Target="../media/7dda842e_86a5_11e9_8101_003048fd731b_2b2de805_a595_11ee_a526_047c1617b1431008.jpeg"/><Relationship Id="rId1009" Type="http://schemas.openxmlformats.org/officeDocument/2006/relationships/image" Target="../media/7dda8432_86a5_11e9_8101_003048fd731b_2b2de809_a595_11ee_a526_047c1617b1431009.jpeg"/><Relationship Id="rId1010" Type="http://schemas.openxmlformats.org/officeDocument/2006/relationships/image" Target="../media/7dda8435_86a5_11e9_8101_003048fd731b_2b2de80d_a595_11ee_a526_047c1617b1431010.jpeg"/><Relationship Id="rId1011" Type="http://schemas.openxmlformats.org/officeDocument/2006/relationships/image" Target="../media/7dda8439_86a5_11e9_8101_003048fd731b_2b2de811_a595_11ee_a526_047c1617b1431011.jpeg"/><Relationship Id="rId1012" Type="http://schemas.openxmlformats.org/officeDocument/2006/relationships/image" Target="../media/7dda843d_86a5_11e9_8101_003048fd731b_2b2de815_a595_11ee_a526_047c1617b1431012.jpeg"/><Relationship Id="rId1013" Type="http://schemas.openxmlformats.org/officeDocument/2006/relationships/image" Target="../media/7dda8441_86a5_11e9_8101_003048fd731b_2b2de819_a595_11ee_a526_047c1617b1431013.jpeg"/><Relationship Id="rId1014" Type="http://schemas.openxmlformats.org/officeDocument/2006/relationships/image" Target="../media/7dda8445_86a5_11e9_8101_003048fd731b_2b2de81d_a595_11ee_a526_047c1617b1431014.jpeg"/><Relationship Id="rId1015" Type="http://schemas.openxmlformats.org/officeDocument/2006/relationships/image" Target="../media/83e7f977_86a5_11e9_8101_003048fd731b_2b2de821_a595_11ee_a526_047c1617b1431015.jpeg"/><Relationship Id="rId1016" Type="http://schemas.openxmlformats.org/officeDocument/2006/relationships/image" Target="../media/83e7f97b_86a5_11e9_8101_003048fd731b_2b2de825_a595_11ee_a526_047c1617b1431016.jpeg"/><Relationship Id="rId1017" Type="http://schemas.openxmlformats.org/officeDocument/2006/relationships/image" Target="../media/83e7f97f_86a5_11e9_8101_003048fd731b_2b2de829_a595_11ee_a526_047c1617b1431017.jpeg"/><Relationship Id="rId1018" Type="http://schemas.openxmlformats.org/officeDocument/2006/relationships/image" Target="../media/83e7f983_86a5_11e9_8101_003048fd731b_2b2de82d_a595_11ee_a526_047c1617b1431018.jpeg"/><Relationship Id="rId1019" Type="http://schemas.openxmlformats.org/officeDocument/2006/relationships/image" Target="../media/83e7f987_86a5_11e9_8101_003048fd731b_2b2de831_a595_11ee_a526_047c1617b1431019.jpeg"/><Relationship Id="rId1020" Type="http://schemas.openxmlformats.org/officeDocument/2006/relationships/image" Target="../media/83e7f98a_86a5_11e9_8101_003048fd731b_2b2de835_a595_11ee_a526_047c1617b1431020.jpeg"/><Relationship Id="rId1021" Type="http://schemas.openxmlformats.org/officeDocument/2006/relationships/image" Target="../media/83e7f98e_86a5_11e9_8101_003048fd731b_2b2de839_a595_11ee_a526_047c1617b1431021.jpeg"/><Relationship Id="rId1022" Type="http://schemas.openxmlformats.org/officeDocument/2006/relationships/image" Target="../media/83e7f992_86a5_11e9_8101_003048fd731b_2b2de83d_a595_11ee_a526_047c1617b1431022.jpeg"/><Relationship Id="rId1023" Type="http://schemas.openxmlformats.org/officeDocument/2006/relationships/image" Target="../media/83e7f996_86a5_11e9_8101_003048fd731b_2b2de841_a595_11ee_a526_047c1617b1431023.jpeg"/><Relationship Id="rId1024" Type="http://schemas.openxmlformats.org/officeDocument/2006/relationships/image" Target="../media/83e7f99a_86a5_11e9_8101_003048fd731b_2b2de845_a595_11ee_a526_047c1617b1431024.jpeg"/><Relationship Id="rId1025" Type="http://schemas.openxmlformats.org/officeDocument/2006/relationships/image" Target="../media/83e7f99e_86a5_11e9_8101_003048fd731b_2b2de849_a595_11ee_a526_047c1617b1431025.jpeg"/><Relationship Id="rId1026" Type="http://schemas.openxmlformats.org/officeDocument/2006/relationships/image" Target="../media/83e7f9a1_86a5_11e9_8101_003048fd731b_2b2de84d_a595_11ee_a526_047c1617b1431026.jpeg"/><Relationship Id="rId1027" Type="http://schemas.openxmlformats.org/officeDocument/2006/relationships/image" Target="../media/83e7f9a4_86a5_11e9_8101_003048fd731b_2b2de851_a595_11ee_a526_047c1617b1431027.jpeg"/><Relationship Id="rId1028" Type="http://schemas.openxmlformats.org/officeDocument/2006/relationships/image" Target="../media/83e7f9a8_86a5_11e9_8101_003048fd731b_2b2de855_a595_11ee_a526_047c1617b1431028.jpeg"/><Relationship Id="rId1029" Type="http://schemas.openxmlformats.org/officeDocument/2006/relationships/image" Target="../media/83e7f9ac_86a5_11e9_8101_003048fd731b_2b2de859_a595_11ee_a526_047c1617b1431029.jpeg"/><Relationship Id="rId1030" Type="http://schemas.openxmlformats.org/officeDocument/2006/relationships/image" Target="../media/83e7f9b0_86a5_11e9_8101_003048fd731b_2b2de85d_a595_11ee_a526_047c1617b1431030.jpeg"/><Relationship Id="rId1031" Type="http://schemas.openxmlformats.org/officeDocument/2006/relationships/image" Target="../media/83e7f9b4_86a5_11e9_8101_003048fd731b_2b2de861_a595_11ee_a526_047c1617b1431031.jpeg"/><Relationship Id="rId1032" Type="http://schemas.openxmlformats.org/officeDocument/2006/relationships/image" Target="../media/83e7f9b8_86a5_11e9_8101_003048fd731b_2b2de865_a595_11ee_a526_047c1617b1431032.jpeg"/><Relationship Id="rId1033" Type="http://schemas.openxmlformats.org/officeDocument/2006/relationships/image" Target="../media/83e7f9bc_86a5_11e9_8101_003048fd731b_2b2de869_a595_11ee_a526_047c1617b1431033.jpeg"/><Relationship Id="rId1034" Type="http://schemas.openxmlformats.org/officeDocument/2006/relationships/image" Target="../media/83e7f9c0_86a5_11e9_8101_003048fd731b_2b2de86d_a595_11ee_a526_047c1617b1431034.jpeg"/><Relationship Id="rId1035" Type="http://schemas.openxmlformats.org/officeDocument/2006/relationships/image" Target="../media/83e7f9d7_86a5_11e9_8101_003048fd731b_2b2de871_a595_11ee_a526_047c1617b1431035.jpeg"/><Relationship Id="rId1036" Type="http://schemas.openxmlformats.org/officeDocument/2006/relationships/image" Target="../media/83e7f9db_86a5_11e9_8101_003048fd731b_2b2de875_a595_11ee_a526_047c1617b1431036.jpeg"/><Relationship Id="rId1037" Type="http://schemas.openxmlformats.org/officeDocument/2006/relationships/image" Target="../media/83e7f9df_86a5_11e9_8101_003048fd731b_2b2de879_a595_11ee_a526_047c1617b1431037.jpeg"/><Relationship Id="rId1038" Type="http://schemas.openxmlformats.org/officeDocument/2006/relationships/image" Target="../media/83e7f9e3_86a5_11e9_8101_003048fd731b_2b2de87d_a595_11ee_a526_047c1617b1431038.jpeg"/><Relationship Id="rId1039" Type="http://schemas.openxmlformats.org/officeDocument/2006/relationships/image" Target="../media/83e7f9e7_86a5_11e9_8101_003048fd731b_3166c425_a595_11ee_a526_047c1617b1431039.jpeg"/><Relationship Id="rId1040" Type="http://schemas.openxmlformats.org/officeDocument/2006/relationships/image" Target="../media/83e7f9eb_86a5_11e9_8101_003048fd731b_3166c429_a595_11ee_a526_047c1617b1431040.jpeg"/><Relationship Id="rId1041" Type="http://schemas.openxmlformats.org/officeDocument/2006/relationships/image" Target="../media/83e7f9ef_86a5_11e9_8101_003048fd731b_3166c42d_a595_11ee_a526_047c1617b1431041.jpeg"/><Relationship Id="rId1042" Type="http://schemas.openxmlformats.org/officeDocument/2006/relationships/image" Target="../media/83e7f9f3_86a5_11e9_8101_003048fd731b_3166c431_a595_11ee_a526_047c1617b1431042.jpeg"/><Relationship Id="rId1043" Type="http://schemas.openxmlformats.org/officeDocument/2006/relationships/image" Target="../media/83e7f9f7_86a5_11e9_8101_003048fd731b_3166c435_a595_11ee_a526_047c1617b1431043.jpeg"/><Relationship Id="rId1044" Type="http://schemas.openxmlformats.org/officeDocument/2006/relationships/image" Target="../media/83e7f9fb_86a5_11e9_8101_003048fd731b_3166c439_a595_11ee_a526_047c1617b1431044.jpeg"/><Relationship Id="rId1045" Type="http://schemas.openxmlformats.org/officeDocument/2006/relationships/image" Target="../media/83e7f9ff_86a5_11e9_8101_003048fd731b_3166c43d_a595_11ee_a526_047c1617b1431045.jpeg"/><Relationship Id="rId1046" Type="http://schemas.openxmlformats.org/officeDocument/2006/relationships/image" Target="../media/83e7fa03_86a5_11e9_8101_003048fd731b_695c4640_11fe_11ef_a5b8_047c1617b1431046.jpeg"/><Relationship Id="rId1047" Type="http://schemas.openxmlformats.org/officeDocument/2006/relationships/image" Target="../media/83e7fa07_86a5_11e9_8101_003048fd731b_695c4644_11fe_11ef_a5b8_047c1617b1431047.jpeg"/><Relationship Id="rId1048" Type="http://schemas.openxmlformats.org/officeDocument/2006/relationships/image" Target="../media/83e7fa0b_86a5_11e9_8101_003048fd731b_695c4648_11fe_11ef_a5b8_047c1617b1431048.jpeg"/><Relationship Id="rId1049" Type="http://schemas.openxmlformats.org/officeDocument/2006/relationships/image" Target="../media/83e7fa0f_86a5_11e9_8101_003048fd731b_695c464c_11fe_11ef_a5b8_047c1617b1431049.jpeg"/><Relationship Id="rId1050" Type="http://schemas.openxmlformats.org/officeDocument/2006/relationships/image" Target="../media/83e7fa13_86a5_11e9_8101_003048fd731b_695c4650_11fe_11ef_a5b8_047c1617b1431050.jpeg"/><Relationship Id="rId1051" Type="http://schemas.openxmlformats.org/officeDocument/2006/relationships/image" Target="../media/83e7fa17_86a5_11e9_8101_003048fd731b_695c4654_11fe_11ef_a5b8_047c1617b1431051.jpeg"/><Relationship Id="rId1052" Type="http://schemas.openxmlformats.org/officeDocument/2006/relationships/image" Target="../media/83e7fa1b_86a5_11e9_8101_003048fd731b_695c4658_11fe_11ef_a5b8_047c1617b1431052.jpeg"/><Relationship Id="rId1053" Type="http://schemas.openxmlformats.org/officeDocument/2006/relationships/image" Target="../media/83e7fa1e_86a5_11e9_8101_003048fd731b_3166c461_a595_11ee_a526_047c1617b1431053.jpeg"/><Relationship Id="rId1054" Type="http://schemas.openxmlformats.org/officeDocument/2006/relationships/image" Target="../media/83e7fa22_86a5_11e9_8101_003048fd731b_3166c465_a595_11ee_a526_047c1617b1431054.jpeg"/><Relationship Id="rId1055" Type="http://schemas.openxmlformats.org/officeDocument/2006/relationships/image" Target="../media/83e7fa26_86a5_11e9_8101_003048fd731b_3166c469_a595_11ee_a526_047c1617b1431055.jpeg"/><Relationship Id="rId1056" Type="http://schemas.openxmlformats.org/officeDocument/2006/relationships/image" Target="../media/83e7fa2a_86a5_11e9_8101_003048fd731b_3166c46d_a595_11ee_a526_047c1617b1431056.jpeg"/><Relationship Id="rId1057" Type="http://schemas.openxmlformats.org/officeDocument/2006/relationships/image" Target="../media/83e7fa2d_86a5_11e9_8101_003048fd731b_3166c471_a595_11ee_a526_047c1617b1431057.jpeg"/><Relationship Id="rId1058" Type="http://schemas.openxmlformats.org/officeDocument/2006/relationships/image" Target="../media/83e7fa31_86a5_11e9_8101_003048fd731b_3166c475_a595_11ee_a526_047c1617b1431058.jpeg"/><Relationship Id="rId1059" Type="http://schemas.openxmlformats.org/officeDocument/2006/relationships/image" Target="../media/83e7fa35_86a5_11e9_8101_003048fd731b_3166c479_a595_11ee_a526_047c1617b1431059.jpeg"/><Relationship Id="rId1060" Type="http://schemas.openxmlformats.org/officeDocument/2006/relationships/image" Target="../media/83e7fa39_86a5_11e9_8101_003048fd731b_3166c47d_a595_11ee_a526_047c1617b1431060.jpeg"/><Relationship Id="rId1061" Type="http://schemas.openxmlformats.org/officeDocument/2006/relationships/image" Target="../media/83e7fa3d_86a5_11e9_8101_003048fd731b_3166c481_a595_11ee_a526_047c1617b1431061.jpeg"/><Relationship Id="rId1062" Type="http://schemas.openxmlformats.org/officeDocument/2006/relationships/image" Target="../media/83e7fa40_86a5_11e9_8101_003048fd731b_3166c485_a595_11ee_a526_047c1617b1431062.jpeg"/><Relationship Id="rId1063" Type="http://schemas.openxmlformats.org/officeDocument/2006/relationships/image" Target="../media/83e7fa43_86a5_11e9_8101_003048fd731b_3166c489_a595_11ee_a526_047c1617b1431063.jpeg"/><Relationship Id="rId1064" Type="http://schemas.openxmlformats.org/officeDocument/2006/relationships/image" Target="../media/83e7fa46_86a5_11e9_8101_003048fd731b_3166c48d_a595_11ee_a526_047c1617b1431064.jpeg"/><Relationship Id="rId1065" Type="http://schemas.openxmlformats.org/officeDocument/2006/relationships/image" Target="../media/6d083a41_3466_11eb_81f3_003048fd731b_695c4628_11fe_11ef_a5b8_047c1617b1431065.jpeg"/><Relationship Id="rId1066" Type="http://schemas.openxmlformats.org/officeDocument/2006/relationships/image" Target="../media/6d083a43_3466_11eb_81f3_003048fd731b_695c462c_11fe_11ef_a5b8_047c1617b1431066.jpeg"/><Relationship Id="rId1067" Type="http://schemas.openxmlformats.org/officeDocument/2006/relationships/image" Target="../media/6d083a45_3466_11eb_81f3_003048fd731b_695c4630_11fe_11ef_a5b8_047c1617b1431067.jpeg"/><Relationship Id="rId1068" Type="http://schemas.openxmlformats.org/officeDocument/2006/relationships/image" Target="../media/6d083a47_3466_11eb_81f3_003048fd731b_695c4634_11fe_11ef_a5b8_047c1617b1431068.jpeg"/><Relationship Id="rId1069" Type="http://schemas.openxmlformats.org/officeDocument/2006/relationships/image" Target="../media/6d083a49_3466_11eb_81f3_003048fd731b_695c465c_11fe_11ef_a5b8_047c1617b1431069.jpeg"/><Relationship Id="rId1070" Type="http://schemas.openxmlformats.org/officeDocument/2006/relationships/image" Target="../media/65637d4e_0b65_11ec_831e_003048fd731b_2509cd96_a595_11ee_a526_047c1617b1431070.jpeg"/><Relationship Id="rId1071" Type="http://schemas.openxmlformats.org/officeDocument/2006/relationships/image" Target="../media/65637d50_0b65_11ec_831e_003048fd731b_2b2de68d_a595_11ee_a526_047c1617b1431071.jpeg"/><Relationship Id="rId1072" Type="http://schemas.openxmlformats.org/officeDocument/2006/relationships/image" Target="../media/65637d52_0b65_11ec_831e_003048fd731b_695c4638_11fe_11ef_a5b8_047c1617b1431072.jpeg"/><Relationship Id="rId1073" Type="http://schemas.openxmlformats.org/officeDocument/2006/relationships/image" Target="../media/65637d54_0b65_11ec_831e_003048fd731b_695c463c_11fe_11ef_a5b8_047c1617b1431073.jpeg"/><Relationship Id="rId1074" Type="http://schemas.openxmlformats.org/officeDocument/2006/relationships/image" Target="../media/50c7c7b9_86a5_11e9_8101_003048fd731b_be0a9a3d_5d58_11f0_a779_047c1617b1431074.jpeg"/><Relationship Id="rId1075" Type="http://schemas.openxmlformats.org/officeDocument/2006/relationships/image" Target="../media/50c7c7bd_86a5_11e9_8101_003048fd731b_be0a9a69_5d58_11f0_a779_047c1617b1431075.jpeg"/><Relationship Id="rId1076" Type="http://schemas.openxmlformats.org/officeDocument/2006/relationships/image" Target="../media/50c7c7c1_86a5_11e9_8101_003048fd731b_be0a9a8f_5d58_11f0_a779_047c1617b1431076.jpeg"/><Relationship Id="rId1077" Type="http://schemas.openxmlformats.org/officeDocument/2006/relationships/image" Target="../media/50c7c7c5_86a5_11e9_8101_003048fd731b_be0a9aa5_5d58_11f0_a779_047c1617b1431077.jpeg"/><Relationship Id="rId1078" Type="http://schemas.openxmlformats.org/officeDocument/2006/relationships/image" Target="../media/50c7c7c9_86a5_11e9_8101_003048fd731b_be0a9ab3_5d58_11f0_a779_047c1617b1431078.jpeg"/><Relationship Id="rId1079" Type="http://schemas.openxmlformats.org/officeDocument/2006/relationships/image" Target="../media/50c7c7cd_86a5_11e9_8101_003048fd731b_be0a9abd_5d58_11f0_a779_047c1617b1431079.jpeg"/><Relationship Id="rId1080" Type="http://schemas.openxmlformats.org/officeDocument/2006/relationships/image" Target="../media/50c7c7e9_86a5_11e9_8101_003048fd731b_be0a9a22_5d58_11f0_a779_047c1617b1431080.jpeg"/><Relationship Id="rId1081" Type="http://schemas.openxmlformats.org/officeDocument/2006/relationships/image" Target="../media/50c7c7ed_86a5_11e9_8101_003048fd731b_be0a9a58_5d58_11f0_a779_047c1617b1431081.jpeg"/><Relationship Id="rId1082" Type="http://schemas.openxmlformats.org/officeDocument/2006/relationships/image" Target="../media/50c7c7f1_86a5_11e9_8101_003048fd731b_83eb96f3_5d58_11f0_a779_047c1617b1431082.jpeg"/><Relationship Id="rId1083" Type="http://schemas.openxmlformats.org/officeDocument/2006/relationships/image" Target="../media/50c7c7f5_86a5_11e9_8101_003048fd731b_be0a9a4d_5d58_11f0_a779_047c1617b1431083.jpeg"/><Relationship Id="rId1084" Type="http://schemas.openxmlformats.org/officeDocument/2006/relationships/image" Target="../media/61bc731e_39e8_11eb_81fc_003048fd731b_83eb96ef_5d58_11f0_a779_047c1617b1431084.jpeg"/><Relationship Id="rId1085" Type="http://schemas.openxmlformats.org/officeDocument/2006/relationships/image" Target="../media/61bc7320_39e8_11eb_81fc_003048fd731b_be0a9a28_5d58_11f0_a779_047c1617b1431085.jpeg"/><Relationship Id="rId1086" Type="http://schemas.openxmlformats.org/officeDocument/2006/relationships/image" Target="../media/61bc7322_39e8_11eb_81fc_003048fd731b_be0a9a3f_5d58_11f0_a779_047c1617b1431086.jpeg"/><Relationship Id="rId1087" Type="http://schemas.openxmlformats.org/officeDocument/2006/relationships/image" Target="../media/61bc7324_39e8_11eb_81fc_003048fd731b_be0a9a49_5d58_11f0_a779_047c1617b1431087.jpeg"/><Relationship Id="rId1088" Type="http://schemas.openxmlformats.org/officeDocument/2006/relationships/image" Target="../media/61bc7326_39e8_11eb_81fc_003048fd731b_be0a9a5e_5d58_11f0_a779_047c1617b1431088.jpeg"/><Relationship Id="rId1089" Type="http://schemas.openxmlformats.org/officeDocument/2006/relationships/image" Target="../media/61bc7328_39e8_11eb_81fc_003048fd731b_be0a9a6b_5d58_11f0_a779_047c1617b1431089.jpeg"/><Relationship Id="rId1090" Type="http://schemas.openxmlformats.org/officeDocument/2006/relationships/image" Target="../media/61bc732a_39e8_11eb_81fc_003048fd731b_be0a9a73_5d58_11f0_a779_047c1617b1431090.jpeg"/><Relationship Id="rId1091" Type="http://schemas.openxmlformats.org/officeDocument/2006/relationships/image" Target="../media/61bc732c_39e8_11eb_81fc_003048fd731b_be0a9a7b_5d58_11f0_a779_047c1617b1431091.jpeg"/><Relationship Id="rId1092" Type="http://schemas.openxmlformats.org/officeDocument/2006/relationships/image" Target="../media/61bc732e_39e8_11eb_81fc_003048fd731b_be0a9a84_5d58_11f0_a779_047c1617b1431092.jpeg"/><Relationship Id="rId1093" Type="http://schemas.openxmlformats.org/officeDocument/2006/relationships/image" Target="../media/61bc7330_39e8_11eb_81fc_003048fd731b_be0a9a91_5d58_11f0_a779_047c1617b1431093.jpeg"/><Relationship Id="rId1094" Type="http://schemas.openxmlformats.org/officeDocument/2006/relationships/image" Target="../media/61bc7332_39e8_11eb_81fc_003048fd731b_be0a9a99_5d58_11f0_a779_047c1617b1431094.jpeg"/><Relationship Id="rId1095" Type="http://schemas.openxmlformats.org/officeDocument/2006/relationships/image" Target="../media/61bc7334_39e8_11eb_81fc_003048fd731b_be0a9aa7_5d58_11f0_a779_047c1617b1431095.jpeg"/><Relationship Id="rId1096" Type="http://schemas.openxmlformats.org/officeDocument/2006/relationships/image" Target="../media/61bc7336_39e8_11eb_81fc_003048fd731b_be0a9ab5_5d58_11f0_a779_047c1617b1431096.jpeg"/><Relationship Id="rId1097" Type="http://schemas.openxmlformats.org/officeDocument/2006/relationships/image" Target="../media/61bc7338_39e8_11eb_81fc_003048fd731b_be0a9a1e_5d58_11f0_a779_047c1617b1431097.jpeg"/><Relationship Id="rId1098" Type="http://schemas.openxmlformats.org/officeDocument/2006/relationships/image" Target="../media/61bc733a_39e8_11eb_81fc_003048fd731b_be0a9a2d_5d58_11f0_a779_047c1617b1431098.jpeg"/><Relationship Id="rId1099" Type="http://schemas.openxmlformats.org/officeDocument/2006/relationships/image" Target="../media/61bc733c_39e8_11eb_81fc_003048fd731b_be0a9a44_5d58_11f0_a779_047c1617b1431099.jpeg"/><Relationship Id="rId1100" Type="http://schemas.openxmlformats.org/officeDocument/2006/relationships/image" Target="../media/61bc733e_39e8_11eb_81fc_003048fd731b_be0a9a54_5d58_11f0_a779_047c1617b1431100.jpeg"/><Relationship Id="rId1101" Type="http://schemas.openxmlformats.org/officeDocument/2006/relationships/image" Target="../media/61bc7340_39e8_11eb_81fc_003048fd731b_be0a9a62_5d58_11f0_a779_047c1617b1431101.jpeg"/><Relationship Id="rId1102" Type="http://schemas.openxmlformats.org/officeDocument/2006/relationships/image" Target="../media/61bc7342_39e8_11eb_81fc_003048fd731b_be0a9a6f_5d58_11f0_a779_047c1617b1431102.jpeg"/><Relationship Id="rId1103" Type="http://schemas.openxmlformats.org/officeDocument/2006/relationships/image" Target="../media/61bc7344_39e8_11eb_81fc_003048fd731b_be0a9a77_5d58_11f0_a779_047c1617b1431103.jpeg"/><Relationship Id="rId1104" Type="http://schemas.openxmlformats.org/officeDocument/2006/relationships/image" Target="../media/61bc7346_39e8_11eb_81fc_003048fd731b_be0a9a7f_5d58_11f0_a779_047c1617b1431104.jpeg"/><Relationship Id="rId1105" Type="http://schemas.openxmlformats.org/officeDocument/2006/relationships/image" Target="../media/61bc7348_39e8_11eb_81fc_003048fd731b_be0a9a88_5d58_11f0_a779_047c1617b1431105.jpeg"/><Relationship Id="rId1106" Type="http://schemas.openxmlformats.org/officeDocument/2006/relationships/image" Target="../media/61bc734a_39e8_11eb_81fc_003048fd731b_be0a9a95_5d58_11f0_a779_047c1617b1431106.jpeg"/><Relationship Id="rId1107" Type="http://schemas.openxmlformats.org/officeDocument/2006/relationships/image" Target="../media/61bc734c_39e8_11eb_81fc_003048fd731b_be0a9a9d_5d58_11f0_a779_047c1617b1431107.jpeg"/><Relationship Id="rId1108" Type="http://schemas.openxmlformats.org/officeDocument/2006/relationships/image" Target="../media/61bc734e_39e8_11eb_81fc_003048fd731b_be0a9aab_5d58_11f0_a779_047c1617b1431108.jpeg"/><Relationship Id="rId1109" Type="http://schemas.openxmlformats.org/officeDocument/2006/relationships/image" Target="../media/61bc7350_39e8_11eb_81fc_003048fd731b_be0a9ab9_5d58_11f0_a779_047c1617b1431109.jpeg"/><Relationship Id="rId1110" Type="http://schemas.openxmlformats.org/officeDocument/2006/relationships/image" Target="../media/61bc7352_39e8_11eb_81fc_003048fd731b_be0a9a3a_5d58_11f0_a779_047c1617b1431110.jpeg"/><Relationship Id="rId1111" Type="http://schemas.openxmlformats.org/officeDocument/2006/relationships/image" Target="../media/61bc7354_39e8_11eb_81fc_003048fd731b_be0a9a66_5d58_11f0_a779_047c1617b1431111.jpeg"/><Relationship Id="rId1112" Type="http://schemas.openxmlformats.org/officeDocument/2006/relationships/image" Target="../media/61bc7356_39e8_11eb_81fc_003048fd731b_be0a9a8c_5d58_11f0_a779_047c1617b1431112.jpeg"/><Relationship Id="rId1113" Type="http://schemas.openxmlformats.org/officeDocument/2006/relationships/image" Target="../media/61bc7358_39e8_11eb_81fc_003048fd731b_be0a9a27_5d58_11f0_a779_047c1617b1431113.jpeg"/><Relationship Id="rId1114" Type="http://schemas.openxmlformats.org/officeDocument/2006/relationships/image" Target="../media/61bc735a_39e8_11eb_81fc_003048fd731b_be0a9a31_5d58_11f0_a779_047c1617b1431114.jpeg"/><Relationship Id="rId1115" Type="http://schemas.openxmlformats.org/officeDocument/2006/relationships/image" Target="../media/61bc735c_39e8_11eb_81fc_003048fd731b_be0a9a48_5d58_11f0_a779_047c1617b1431115.jpeg"/><Relationship Id="rId1116" Type="http://schemas.openxmlformats.org/officeDocument/2006/relationships/image" Target="../media/61bc735e_39e8_11eb_81fc_003048fd731b_be0a9a5d_5d58_11f0_a779_047c1617b1431116.jpeg"/><Relationship Id="rId1117" Type="http://schemas.openxmlformats.org/officeDocument/2006/relationships/image" Target="../media/61bc7360_39e8_11eb_81fc_003048fd731b_be0a9a83_5d58_11f0_a779_047c1617b1431117.jpeg"/><Relationship Id="rId1118" Type="http://schemas.openxmlformats.org/officeDocument/2006/relationships/image" Target="../media/61bc7362_39e8_11eb_81fc_003048fd731b_83eb96f9_5d58_11f0_a779_047c1617b1431118.jpeg"/><Relationship Id="rId1119" Type="http://schemas.openxmlformats.org/officeDocument/2006/relationships/image" Target="../media/61bc7364_39e8_11eb_81fc_003048fd731b_be0a9a2c_5d58_11f0_a779_047c1617b1431119.jpeg"/><Relationship Id="rId1120" Type="http://schemas.openxmlformats.org/officeDocument/2006/relationships/image" Target="../media/61bc7366_39e8_11eb_81fc_003048fd731b_be0a9a43_5d58_11f0_a779_047c1617b1431120.jpeg"/><Relationship Id="rId1121" Type="http://schemas.openxmlformats.org/officeDocument/2006/relationships/image" Target="../media/61bc7368_39e8_11eb_81fc_003048fd731b_be0a9a53_5d58_11f0_a779_047c1617b1431121.jpeg"/><Relationship Id="rId1122" Type="http://schemas.openxmlformats.org/officeDocument/2006/relationships/image" Target="../media/f6f0e42d_c920_11ee_a554_047c1617b143_21d4f5ae_793a_11f0_a79f_047c1617b1431122.jpeg"/><Relationship Id="rId1123" Type="http://schemas.openxmlformats.org/officeDocument/2006/relationships/image" Target="../media/f6f0e42f_c920_11ee_a554_047c1617b143_21d4f5af_793a_11f0_a79f_047c1617b1431123.jpeg"/><Relationship Id="rId1124" Type="http://schemas.openxmlformats.org/officeDocument/2006/relationships/image" Target="../media/e3f40c1e_5308_11ee_a4bb_047c1617b143_be0a9aa1_5d58_11f0_a779_047c1617b1431124.jpeg"/><Relationship Id="rId1125" Type="http://schemas.openxmlformats.org/officeDocument/2006/relationships/image" Target="../media/e3f40c20_5308_11ee_a4bb_047c1617b143_be0a9aaf_5d58_11f0_a779_047c1617b1431125.jpeg"/><Relationship Id="rId1126" Type="http://schemas.openxmlformats.org/officeDocument/2006/relationships/image" Target="../media/e3f40c22_5308_11ee_a4bb_047c1617b143_be0a9a3e_5d58_11f0_a779_047c1617b1431126.jpeg"/><Relationship Id="rId1127" Type="http://schemas.openxmlformats.org/officeDocument/2006/relationships/image" Target="../media/e3f40c24_5308_11ee_a4bb_047c1617b143_be0a9a6a_5d58_11f0_a779_047c1617b1431127.jpeg"/><Relationship Id="rId1128" Type="http://schemas.openxmlformats.org/officeDocument/2006/relationships/image" Target="../media/e3f40c26_5308_11ee_a4bb_047c1617b143_be0a9a90_5d58_11f0_a779_047c1617b1431128.jpeg"/><Relationship Id="rId1129" Type="http://schemas.openxmlformats.org/officeDocument/2006/relationships/image" Target="../media/e3f40c28_5308_11ee_a4bb_047c1617b143_be0a9aa6_5d58_11f0_a779_047c1617b1431129.jpeg"/><Relationship Id="rId1130" Type="http://schemas.openxmlformats.org/officeDocument/2006/relationships/image" Target="../media/e3f40c2a_5308_11ee_a4bb_047c1617b143_be0a9ab4_5d58_11f0_a779_047c1617b1431130.jpeg"/><Relationship Id="rId1131" Type="http://schemas.openxmlformats.org/officeDocument/2006/relationships/image" Target="../media/e3f40c2c_5308_11ee_a4bb_047c1617b143_be0a9abe_5d58_11f0_a779_047c1617b1431131.jpeg"/><Relationship Id="rId1132" Type="http://schemas.openxmlformats.org/officeDocument/2006/relationships/image" Target="../media/0352cbd9_5316_11ee_a4bb_047c1617b143_be0a9a23_5d58_11f0_a779_047c1617b1431132.jpeg"/><Relationship Id="rId1133" Type="http://schemas.openxmlformats.org/officeDocument/2006/relationships/image" Target="../media/0352cbdb_5316_11ee_a4bb_047c1617b143_be0a9a59_5d58_11f0_a779_047c1617b1431133.jpeg"/><Relationship Id="rId1134" Type="http://schemas.openxmlformats.org/officeDocument/2006/relationships/image" Target="../media/0352cbdd_5316_11ee_a4bb_047c1617b143_83eb96f4_5d58_11f0_a779_047c1617b1431134.jpeg"/><Relationship Id="rId1135" Type="http://schemas.openxmlformats.org/officeDocument/2006/relationships/image" Target="../media/0352cbdf_5316_11ee_a4bb_047c1617b143_be0a9a4e_5d58_11f0_a779_047c1617b1431135.jpeg"/><Relationship Id="rId1136" Type="http://schemas.openxmlformats.org/officeDocument/2006/relationships/image" Target="../media/0352cbe1_5316_11ee_a4bb_047c1617b143_be0a9aca_5d58_11f0_a779_047c1617b1431136.jpeg"/><Relationship Id="rId1137" Type="http://schemas.openxmlformats.org/officeDocument/2006/relationships/image" Target="../media/0352cbe3_5316_11ee_a4bb_047c1617b143_be0a9acb_5d58_11f0_a779_047c1617b1431137.jpeg"/><Relationship Id="rId1138" Type="http://schemas.openxmlformats.org/officeDocument/2006/relationships/image" Target="../media/0352cbe5_5316_11ee_a4bb_047c1617b143_be0a9acc_5d58_11f0_a779_047c1617b1431138.jpeg"/><Relationship Id="rId1139" Type="http://schemas.openxmlformats.org/officeDocument/2006/relationships/image" Target="../media/0352cbe7_5316_11ee_a4bb_047c1617b143_be0a9acd_5d58_11f0_a779_047c1617b1431139.jpeg"/><Relationship Id="rId1140" Type="http://schemas.openxmlformats.org/officeDocument/2006/relationships/image" Target="../media/0352cbe9_5316_11ee_a4bb_047c1617b143_be0a9ace_5d58_11f0_a779_047c1617b1431140.jpeg"/><Relationship Id="rId1141" Type="http://schemas.openxmlformats.org/officeDocument/2006/relationships/image" Target="../media/0352cbeb_5316_11ee_a4bb_047c1617b143_be0a9acf_5d58_11f0_a779_047c1617b1431141.jpeg"/><Relationship Id="rId1142" Type="http://schemas.openxmlformats.org/officeDocument/2006/relationships/image" Target="../media/0352cbed_5316_11ee_a4bb_047c1617b143_be0a9ad0_5d58_11f0_a779_047c1617b1431142.jpeg"/><Relationship Id="rId1143" Type="http://schemas.openxmlformats.org/officeDocument/2006/relationships/image" Target="../media/0352cbef_5316_11ee_a4bb_047c1617b143_be0a9ad1_5d58_11f0_a779_047c1617b1431143.jpeg"/><Relationship Id="rId1144" Type="http://schemas.openxmlformats.org/officeDocument/2006/relationships/image" Target="../media/0352cbf1_5316_11ee_a4bb_047c1617b143_be0a9ad2_5d58_11f0_a779_047c1617b1431144.jpeg"/><Relationship Id="rId1145" Type="http://schemas.openxmlformats.org/officeDocument/2006/relationships/image" Target="../media/0352cbf3_5316_11ee_a4bb_047c1617b143_be0a9ad3_5d58_11f0_a779_047c1617b1431145.jpeg"/><Relationship Id="rId1146" Type="http://schemas.openxmlformats.org/officeDocument/2006/relationships/image" Target="../media/0352cbf5_5316_11ee_a4bb_047c1617b143_be0a9ad7_5d58_11f0_a779_047c1617b1431146.jpeg"/><Relationship Id="rId1147" Type="http://schemas.openxmlformats.org/officeDocument/2006/relationships/image" Target="../media/0352cbf7_5316_11ee_a4bb_047c1617b143_be0a9adb_5d58_11f0_a779_047c1617b1431147.jpeg"/><Relationship Id="rId1148" Type="http://schemas.openxmlformats.org/officeDocument/2006/relationships/image" Target="../media/0352cbf9_5316_11ee_a4bb_047c1617b143_be0a9adf_5d58_11f0_a779_047c1617b1431148.jpeg"/><Relationship Id="rId1149" Type="http://schemas.openxmlformats.org/officeDocument/2006/relationships/image" Target="../media/0352cbfb_5316_11ee_a4bb_047c1617b143_be0a9ae3_5d58_11f0_a779_047c1617b1431149.jpeg"/><Relationship Id="rId1150" Type="http://schemas.openxmlformats.org/officeDocument/2006/relationships/image" Target="../media/0352cbfd_5316_11ee_a4bb_047c1617b143_be0a9ae7_5d58_11f0_a779_047c1617b1431150.jpeg"/><Relationship Id="rId1151" Type="http://schemas.openxmlformats.org/officeDocument/2006/relationships/image" Target="../media/0352cbff_5316_11ee_a4bb_047c1617b143_be0a9aeb_5d58_11f0_a779_047c1617b1431151.jpeg"/><Relationship Id="rId1152" Type="http://schemas.openxmlformats.org/officeDocument/2006/relationships/image" Target="../media/0352cc01_5316_11ee_a4bb_047c1617b143_be0a9aef_5d58_11f0_a779_047c1617b1431152.jpeg"/><Relationship Id="rId1153" Type="http://schemas.openxmlformats.org/officeDocument/2006/relationships/image" Target="../media/0352cc03_5316_11ee_a4bb_047c1617b143_be0a9af3_5d58_11f0_a779_047c1617b1431153.jpeg"/><Relationship Id="rId1154" Type="http://schemas.openxmlformats.org/officeDocument/2006/relationships/image" Target="../media/6f6da3b7_c29f_11ee_a54c_047c1617b143_be0a9b15_5d58_11f0_a779_047c1617b1431154.jpeg"/><Relationship Id="rId1155" Type="http://schemas.openxmlformats.org/officeDocument/2006/relationships/image" Target="../media/6f6da3b9_c29f_11ee_a54c_047c1617b143_be0a9b16_5d58_11f0_a779_047c1617b1431155.jpeg"/><Relationship Id="rId1156" Type="http://schemas.openxmlformats.org/officeDocument/2006/relationships/image" Target="../media/6f6da3bb_c29f_11ee_a54c_047c1617b143_be0a9b17_5d58_11f0_a779_047c1617b1431156.jpeg"/><Relationship Id="rId1157" Type="http://schemas.openxmlformats.org/officeDocument/2006/relationships/image" Target="../media/6f6da3bd_c29f_11ee_a54c_047c1617b143_be0a9b18_5d58_11f0_a779_047c1617b1431157.jpeg"/><Relationship Id="rId1158" Type="http://schemas.openxmlformats.org/officeDocument/2006/relationships/image" Target="../media/6f6da3bf_c29f_11ee_a54c_047c1617b143_be0a9b19_5d58_11f0_a779_047c1617b1431158.jpeg"/><Relationship Id="rId1159" Type="http://schemas.openxmlformats.org/officeDocument/2006/relationships/image" Target="../media/6f6da3c1_c29f_11ee_a54c_047c1617b143_be0a9b1a_5d58_11f0_a779_047c1617b1431159.jpeg"/><Relationship Id="rId1160" Type="http://schemas.openxmlformats.org/officeDocument/2006/relationships/image" Target="../media/6f6da3c3_c29f_11ee_a54c_047c1617b143_be0a9b1b_5d58_11f0_a779_047c1617b1431160.jpeg"/><Relationship Id="rId1161" Type="http://schemas.openxmlformats.org/officeDocument/2006/relationships/image" Target="../media/6f6da3c5_c29f_11ee_a54c_047c1617b143_be0a9b1c_5d58_11f0_a779_047c1617b1431161.jpeg"/><Relationship Id="rId1162" Type="http://schemas.openxmlformats.org/officeDocument/2006/relationships/image" Target="../media/6f6da3c7_c29f_11ee_a54c_047c1617b143_be0a9b1d_5d58_11f0_a779_047c1617b1431162.jpeg"/><Relationship Id="rId1163" Type="http://schemas.openxmlformats.org/officeDocument/2006/relationships/image" Target="../media/6f6da3c9_c29f_11ee_a54c_047c1617b143_be0a9b1e_5d58_11f0_a779_047c1617b1431163.jpeg"/><Relationship Id="rId1164" Type="http://schemas.openxmlformats.org/officeDocument/2006/relationships/image" Target="../media/6f6da3cb_c29f_11ee_a54c_047c1617b143_be0a9b1f_5d58_11f0_a779_047c1617b1431164.jpeg"/><Relationship Id="rId1165" Type="http://schemas.openxmlformats.org/officeDocument/2006/relationships/image" Target="../media/6f6da3cd_c29f_11ee_a54c_047c1617b143_be0a9b20_5d58_11f0_a779_047c1617b1431165.jpeg"/><Relationship Id="rId1166" Type="http://schemas.openxmlformats.org/officeDocument/2006/relationships/image" Target="../media/6f6da3cf_c29f_11ee_a54c_047c1617b143_be0a9b21_5d58_11f0_a779_047c1617b1431166.jpeg"/><Relationship Id="rId1167" Type="http://schemas.openxmlformats.org/officeDocument/2006/relationships/image" Target="../media/6f6da3d1_c29f_11ee_a54c_047c1617b143_be0a9b22_5d58_11f0_a779_047c1617b1431167.jpeg"/><Relationship Id="rId1168" Type="http://schemas.openxmlformats.org/officeDocument/2006/relationships/image" Target="../media/6f6da3d3_c29f_11ee_a54c_047c1617b143_be0a9b23_5d58_11f0_a779_047c1617b1431168.jpeg"/><Relationship Id="rId1169" Type="http://schemas.openxmlformats.org/officeDocument/2006/relationships/image" Target="../media/6f6da3d5_c29f_11ee_a54c_047c1617b143_be0a9b24_5d58_11f0_a779_047c1617b1431169.jpeg"/><Relationship Id="rId1170" Type="http://schemas.openxmlformats.org/officeDocument/2006/relationships/image" Target="../media/6f6da3d7_c29f_11ee_a54c_047c1617b143_be0a9b25_5d58_11f0_a779_047c1617b1431170.jpeg"/><Relationship Id="rId1171" Type="http://schemas.openxmlformats.org/officeDocument/2006/relationships/image" Target="../media/6f6da3d9_c29f_11ee_a54c_047c1617b143_be0a9b26_5d58_11f0_a779_047c1617b1431171.jpeg"/><Relationship Id="rId1172" Type="http://schemas.openxmlformats.org/officeDocument/2006/relationships/image" Target="../media/6f6da3db_c29f_11ee_a54c_047c1617b143_be0a9b27_5d58_11f0_a779_047c1617b1431172.jpeg"/><Relationship Id="rId1173" Type="http://schemas.openxmlformats.org/officeDocument/2006/relationships/image" Target="../media/6f6da3dd_c29f_11ee_a54c_047c1617b143_be0a9b28_5d58_11f0_a779_047c1617b1431173.jpeg"/><Relationship Id="rId1174" Type="http://schemas.openxmlformats.org/officeDocument/2006/relationships/image" Target="../media/6f6da3df_c29f_11ee_a54c_047c1617b143_be0a9b29_5d58_11f0_a779_047c1617b1431174.jpeg"/><Relationship Id="rId1175" Type="http://schemas.openxmlformats.org/officeDocument/2006/relationships/image" Target="../media/6f6da3e1_c29f_11ee_a54c_047c1617b143_be0a9b2a_5d58_11f0_a779_047c1617b1431175.jpeg"/><Relationship Id="rId1176" Type="http://schemas.openxmlformats.org/officeDocument/2006/relationships/image" Target="../media/6f6da3e3_c29f_11ee_a54c_047c1617b143_be0a9b2b_5d58_11f0_a779_047c1617b1431176.jpeg"/><Relationship Id="rId1177" Type="http://schemas.openxmlformats.org/officeDocument/2006/relationships/image" Target="../media/6f6da3e5_c29f_11ee_a54c_047c1617b143_be0a9b2c_5d58_11f0_a779_047c1617b1431177.jpeg"/><Relationship Id="rId1178" Type="http://schemas.openxmlformats.org/officeDocument/2006/relationships/image" Target="../media/6f6da3e7_c29f_11ee_a54c_047c1617b143_4396bf11_0312_11ef_a5a4_047c1617b1431178.jpeg"/><Relationship Id="rId1179" Type="http://schemas.openxmlformats.org/officeDocument/2006/relationships/image" Target="../media/6f6da3e9_c29f_11ee_a54c_047c1617b143_4396bf12_0312_11ef_a5a4_047c1617b1431179.jpeg"/><Relationship Id="rId1180" Type="http://schemas.openxmlformats.org/officeDocument/2006/relationships/image" Target="../media/cb15cc75_f760_11ee_a595_047c1617b143_be0a9af7_5d58_11f0_a779_047c1617b1431180.jpeg"/><Relationship Id="rId1181" Type="http://schemas.openxmlformats.org/officeDocument/2006/relationships/image" Target="../media/cb15cc77_f760_11ee_a595_047c1617b143_be0a9af8_5d58_11f0_a779_047c1617b1431181.jpeg"/><Relationship Id="rId1182" Type="http://schemas.openxmlformats.org/officeDocument/2006/relationships/image" Target="../media/cb15cc79_f760_11ee_a595_047c1617b143_be0a9af9_5d58_11f0_a779_047c1617b1431182.jpeg"/><Relationship Id="rId1183" Type="http://schemas.openxmlformats.org/officeDocument/2006/relationships/image" Target="../media/cb15cc7b_f760_11ee_a595_047c1617b143_be0a9afa_5d58_11f0_a779_047c1617b1431183.jpeg"/><Relationship Id="rId1184" Type="http://schemas.openxmlformats.org/officeDocument/2006/relationships/image" Target="../media/cb15cc7d_f760_11ee_a595_047c1617b143_be0a9afb_5d58_11f0_a779_047c1617b1431184.jpeg"/><Relationship Id="rId1185" Type="http://schemas.openxmlformats.org/officeDocument/2006/relationships/image" Target="../media/cb15cc7f_f760_11ee_a595_047c1617b143_be0a9afc_5d58_11f0_a779_047c1617b1431185.jpeg"/><Relationship Id="rId1186" Type="http://schemas.openxmlformats.org/officeDocument/2006/relationships/image" Target="../media/cb15cc81_f760_11ee_a595_047c1617b143_be0a9afd_5d58_11f0_a779_047c1617b1431186.jpeg"/><Relationship Id="rId1187" Type="http://schemas.openxmlformats.org/officeDocument/2006/relationships/image" Target="../media/be281c22_f776_11ee_a595_047c1617b143_be0a9afe_5d58_11f0_a779_047c1617b1431187.jpeg"/><Relationship Id="rId1188" Type="http://schemas.openxmlformats.org/officeDocument/2006/relationships/image" Target="../media/be281c24_f776_11ee_a595_047c1617b143_be0a9aff_5d58_11f0_a779_047c1617b1431188.jpeg"/><Relationship Id="rId1189" Type="http://schemas.openxmlformats.org/officeDocument/2006/relationships/image" Target="../media/be281c26_f776_11ee_a595_047c1617b143_be0a9b00_5d58_11f0_a779_047c1617b1431189.jpeg"/><Relationship Id="rId1190" Type="http://schemas.openxmlformats.org/officeDocument/2006/relationships/image" Target="../media/be281c28_f776_11ee_a595_047c1617b143_be0a9b01_5d58_11f0_a779_047c1617b1431190.jpeg"/><Relationship Id="rId1191" Type="http://schemas.openxmlformats.org/officeDocument/2006/relationships/image" Target="../media/be281c2a_f776_11ee_a595_047c1617b143_be0a9b02_5d58_11f0_a779_047c1617b1431191.jpeg"/><Relationship Id="rId1192" Type="http://schemas.openxmlformats.org/officeDocument/2006/relationships/image" Target="../media/be281c2c_f776_11ee_a595_047c1617b143_be0a9b03_5d58_11f0_a779_047c1617b1431192.jpeg"/><Relationship Id="rId1193" Type="http://schemas.openxmlformats.org/officeDocument/2006/relationships/image" Target="../media/be281c2e_f776_11ee_a595_047c1617b143_be0a9b04_5d58_11f0_a779_047c1617b1431193.jpeg"/><Relationship Id="rId1194" Type="http://schemas.openxmlformats.org/officeDocument/2006/relationships/image" Target="../media/be281c30_f776_11ee_a595_047c1617b143_be0a9b05_5d58_11f0_a779_047c1617b1431194.jpeg"/><Relationship Id="rId1195" Type="http://schemas.openxmlformats.org/officeDocument/2006/relationships/image" Target="../media/be281c32_f776_11ee_a595_047c1617b143_be0a9b06_5d58_11f0_a779_047c1617b1431195.jpeg"/><Relationship Id="rId1196" Type="http://schemas.openxmlformats.org/officeDocument/2006/relationships/image" Target="../media/be281c34_f776_11ee_a595_047c1617b143_be0a9b07_5d58_11f0_a779_047c1617b1431196.jpeg"/><Relationship Id="rId1197" Type="http://schemas.openxmlformats.org/officeDocument/2006/relationships/image" Target="../media/be281c36_f776_11ee_a595_047c1617b143_be0a9b09_5d58_11f0_a779_047c1617b1431197.jpeg"/><Relationship Id="rId1198" Type="http://schemas.openxmlformats.org/officeDocument/2006/relationships/image" Target="../media/be281c38_f776_11ee_a595_047c1617b143_be0a9b0a_5d58_11f0_a779_047c1617b1431198.jpeg"/><Relationship Id="rId1199" Type="http://schemas.openxmlformats.org/officeDocument/2006/relationships/image" Target="../media/be281c3a_f776_11ee_a595_047c1617b143_be0a9b08_5d58_11f0_a779_047c1617b1431199.jpeg"/><Relationship Id="rId1200" Type="http://schemas.openxmlformats.org/officeDocument/2006/relationships/image" Target="../media/be281c3c_f776_11ee_a595_047c1617b143_be0a9b0b_5d58_11f0_a779_047c1617b1431200.jpeg"/><Relationship Id="rId1201" Type="http://schemas.openxmlformats.org/officeDocument/2006/relationships/image" Target="../media/be281c3e_f776_11ee_a595_047c1617b143_be0a9b0c_5d58_11f0_a779_047c1617b1431201.jpeg"/><Relationship Id="rId1202" Type="http://schemas.openxmlformats.org/officeDocument/2006/relationships/image" Target="../media/be281c40_f776_11ee_a595_047c1617b143_be0a9b0d_5d58_11f0_a779_047c1617b1431202.jpeg"/><Relationship Id="rId1203" Type="http://schemas.openxmlformats.org/officeDocument/2006/relationships/image" Target="../media/be281c42_f776_11ee_a595_047c1617b143_be0a9b0e_5d58_11f0_a779_047c1617b1431203.jpeg"/><Relationship Id="rId1204" Type="http://schemas.openxmlformats.org/officeDocument/2006/relationships/image" Target="../media/be281c44_f776_11ee_a595_047c1617b143_be0a9b10_5d58_11f0_a779_047c1617b1431204.jpeg"/><Relationship Id="rId1205" Type="http://schemas.openxmlformats.org/officeDocument/2006/relationships/image" Target="../media/be281c46_f776_11ee_a595_047c1617b143_be0a9b11_5d58_11f0_a779_047c1617b1431205.jpeg"/><Relationship Id="rId1206" Type="http://schemas.openxmlformats.org/officeDocument/2006/relationships/image" Target="../media/be281c48_f776_11ee_a595_047c1617b143_be0a9b0f_5d58_11f0_a779_047c1617b1431206.jpeg"/><Relationship Id="rId1207" Type="http://schemas.openxmlformats.org/officeDocument/2006/relationships/image" Target="../media/be281c4a_f776_11ee_a595_047c1617b143_be0a9b12_5d58_11f0_a779_047c1617b1431207.jpeg"/><Relationship Id="rId1208" Type="http://schemas.openxmlformats.org/officeDocument/2006/relationships/image" Target="../media/be281c4c_f776_11ee_a595_047c1617b143_be0a9b13_5d58_11f0_a779_047c1617b1431208.jpeg"/><Relationship Id="rId1209" Type="http://schemas.openxmlformats.org/officeDocument/2006/relationships/image" Target="../media/be281c4e_f776_11ee_a595_047c1617b143_be0a9b14_5d58_11f0_a779_047c1617b1431209.jpeg"/><Relationship Id="rId1210" Type="http://schemas.openxmlformats.org/officeDocument/2006/relationships/image" Target="../media/1f13c403_37d2_11ef_a5e9_047c1617b143_be0a9a32_5d58_11f0_a779_047c1617b1431210.jpeg"/><Relationship Id="rId1211" Type="http://schemas.openxmlformats.org/officeDocument/2006/relationships/image" Target="../media/1f13c405_37d2_11ef_a5e9_047c1617b143_be0a9a36_5d58_11f0_a779_047c1617b1431211.jpeg"/><Relationship Id="rId1212" Type="http://schemas.openxmlformats.org/officeDocument/2006/relationships/image" Target="../media/1f13c407_37d2_11ef_a5e9_047c1617b143_be0a9a24_5d58_11f0_a779_047c1617b1431212.jpeg"/><Relationship Id="rId1213" Type="http://schemas.openxmlformats.org/officeDocument/2006/relationships/image" Target="../media/1f13c409_37d2_11ef_a5e9_047c1617b143_be0a9a5a_5d58_11f0_a779_047c1617b1431213.jpeg"/><Relationship Id="rId1214" Type="http://schemas.openxmlformats.org/officeDocument/2006/relationships/image" Target="../media/1f13c40b_37d2_11ef_a5e9_047c1617b143_83eb96f5_5d58_11f0_a779_047c1617b1431214.jpeg"/><Relationship Id="rId1215" Type="http://schemas.openxmlformats.org/officeDocument/2006/relationships/image" Target="../media/1f13c40d_37d2_11ef_a5e9_047c1617b143_be0a9a4f_5d58_11f0_a779_047c1617b1431215.jpeg"/><Relationship Id="rId1216" Type="http://schemas.openxmlformats.org/officeDocument/2006/relationships/image" Target="../media/3e847208_afd7_11ef_a68d_047c1617b143_be0a9abf_5d58_11f0_a779_047c1617b1431216.jpeg"/><Relationship Id="rId1217" Type="http://schemas.openxmlformats.org/officeDocument/2006/relationships/image" Target="../media/3e84720a_afd7_11ef_a68d_047c1617b143_be0a9ac0_5d58_11f0_a779_047c1617b1431217.jpeg"/><Relationship Id="rId1218" Type="http://schemas.openxmlformats.org/officeDocument/2006/relationships/image" Target="../media/3e84720c_afd7_11ef_a68d_047c1617b143_be0a9ac1_5d58_11f0_a779_047c1617b1431218.jpeg"/><Relationship Id="rId1219" Type="http://schemas.openxmlformats.org/officeDocument/2006/relationships/image" Target="../media/3e84720e_afd7_11ef_a68d_047c1617b143_be0a9ac2_5d58_11f0_a779_047c1617b1431219.jpeg"/><Relationship Id="rId1220" Type="http://schemas.openxmlformats.org/officeDocument/2006/relationships/image" Target="../media/3e847210_afd7_11ef_a68d_047c1617b143_be0a9ac3_5d58_11f0_a779_047c1617b1431220.jpeg"/><Relationship Id="rId1221" Type="http://schemas.openxmlformats.org/officeDocument/2006/relationships/image" Target="../media/3e847212_afd7_11ef_a68d_047c1617b143_be0a9ac5_5d58_11f0_a779_047c1617b1431221.jpeg"/><Relationship Id="rId1222" Type="http://schemas.openxmlformats.org/officeDocument/2006/relationships/image" Target="../media/3e847214_afd7_11ef_a68d_047c1617b143_be0a9ac7_5d58_11f0_a779_047c1617b1431222.jpeg"/><Relationship Id="rId1223" Type="http://schemas.openxmlformats.org/officeDocument/2006/relationships/image" Target="../media/3e847216_afd7_11ef_a68d_047c1617b143_be0a9ac8_5d58_11f0_a779_047c1617b1431223.jpeg"/><Relationship Id="rId1224" Type="http://schemas.openxmlformats.org/officeDocument/2006/relationships/image" Target="../media/3e847218_afd7_11ef_a68d_047c1617b143_21d4f5bc_793a_11f0_a79f_047c1617b1431224.jpeg"/><Relationship Id="rId1225" Type="http://schemas.openxmlformats.org/officeDocument/2006/relationships/image" Target="../media/ac8e515b_ce27_11ee_a55d_047c1617b143_6f54f155_11fe_11ef_a5b8_047c1617b1431225.png"/><Relationship Id="rId1226" Type="http://schemas.openxmlformats.org/officeDocument/2006/relationships/image" Target="../media/ac8e515d_ce27_11ee_a55d_047c1617b143_6f54f156_11fe_11ef_a5b8_047c1617b1431226.png"/><Relationship Id="rId1227" Type="http://schemas.openxmlformats.org/officeDocument/2006/relationships/image" Target="../media/ac8e515f_ce27_11ee_a55d_047c1617b143_6f54f157_11fe_11ef_a5b8_047c1617b1431227.png"/><Relationship Id="rId1228" Type="http://schemas.openxmlformats.org/officeDocument/2006/relationships/image" Target="../media/ac8e5161_ce27_11ee_a55d_047c1617b143_6f54f158_11fe_11ef_a5b8_047c1617b1431228.png"/><Relationship Id="rId1229" Type="http://schemas.openxmlformats.org/officeDocument/2006/relationships/image" Target="../media/ac8e5163_ce27_11ee_a55d_047c1617b143_6f54f159_11fe_11ef_a5b8_047c1617b1431229.png"/><Relationship Id="rId1230" Type="http://schemas.openxmlformats.org/officeDocument/2006/relationships/image" Target="../media/ac8e5165_ce27_11ee_a55d_047c1617b143_6f54f15a_11fe_11ef_a5b8_047c1617b1431230.png"/><Relationship Id="rId1231" Type="http://schemas.openxmlformats.org/officeDocument/2006/relationships/image" Target="../media/ac8e5167_ce27_11ee_a55d_047c1617b143_6f54f15b_11fe_11ef_a5b8_047c1617b1431231.png"/><Relationship Id="rId1232" Type="http://schemas.openxmlformats.org/officeDocument/2006/relationships/image" Target="../media/ac8e5169_ce27_11ee_a55d_047c1617b143_6f54f15c_11fe_11ef_a5b8_047c1617b1431232.png"/><Relationship Id="rId1233" Type="http://schemas.openxmlformats.org/officeDocument/2006/relationships/image" Target="../media/ac8e516b_ce27_11ee_a55d_047c1617b143_6f54f15d_11fe_11ef_a5b8_047c1617b1431233.png"/><Relationship Id="rId1234" Type="http://schemas.openxmlformats.org/officeDocument/2006/relationships/image" Target="../media/ac8e516d_ce27_11ee_a55d_047c1617b143_6f54f15e_11fe_11ef_a5b8_047c1617b1431234.png"/><Relationship Id="rId1235" Type="http://schemas.openxmlformats.org/officeDocument/2006/relationships/image" Target="../media/ac8e516f_ce27_11ee_a55d_047c1617b143_6f54f15f_11fe_11ef_a5b8_047c1617b1431235.png"/><Relationship Id="rId1236" Type="http://schemas.openxmlformats.org/officeDocument/2006/relationships/image" Target="../media/ac8e5171_ce27_11ee_a55d_047c1617b143_6f54f160_11fe_11ef_a5b8_047c1617b1431236.png"/><Relationship Id="rId1237" Type="http://schemas.openxmlformats.org/officeDocument/2006/relationships/image" Target="../media/ac8e5173_ce27_11ee_a55d_047c1617b143_6f54f161_11fe_11ef_a5b8_047c1617b1431237.png"/><Relationship Id="rId1238" Type="http://schemas.openxmlformats.org/officeDocument/2006/relationships/image" Target="../media/985c7b04_ce7d_11ee_a55d_047c1617b143_6f54f14b_11fe_11ef_a5b8_047c1617b1431238.png"/><Relationship Id="rId1239" Type="http://schemas.openxmlformats.org/officeDocument/2006/relationships/image" Target="../media/985c7b06_ce7d_11ee_a55d_047c1617b143_6f54f14c_11fe_11ef_a5b8_047c1617b1431239.png"/><Relationship Id="rId1240" Type="http://schemas.openxmlformats.org/officeDocument/2006/relationships/image" Target="../media/985c7b08_ce7d_11ee_a55d_047c1617b143_6f54f149_11fe_11ef_a5b8_047c1617b1431240.png"/><Relationship Id="rId1241" Type="http://schemas.openxmlformats.org/officeDocument/2006/relationships/image" Target="../media/985c7b0a_ce7d_11ee_a55d_047c1617b143_6f54f14a_11fe_11ef_a5b8_047c1617b1431241.png"/><Relationship Id="rId1242" Type="http://schemas.openxmlformats.org/officeDocument/2006/relationships/image" Target="../media/985c7b0c_ce7d_11ee_a55d_047c1617b143_6f54f14d_11fe_11ef_a5b8_047c1617b1431242.png"/><Relationship Id="rId1243" Type="http://schemas.openxmlformats.org/officeDocument/2006/relationships/image" Target="../media/985c7b0e_ce7d_11ee_a55d_047c1617b143_6f54f14e_11fe_11ef_a5b8_047c1617b1431243.png"/><Relationship Id="rId1244" Type="http://schemas.openxmlformats.org/officeDocument/2006/relationships/image" Target="../media/985c7b10_ce7d_11ee_a55d_047c1617b143_6f54f14f_11fe_11ef_a5b8_047c1617b1431244.png"/><Relationship Id="rId1245" Type="http://schemas.openxmlformats.org/officeDocument/2006/relationships/image" Target="../media/985c7b12_ce7d_11ee_a55d_047c1617b143_6f54f150_11fe_11ef_a5b8_047c1617b1431245.png"/><Relationship Id="rId1246" Type="http://schemas.openxmlformats.org/officeDocument/2006/relationships/image" Target="../media/985c7b14_ce7d_11ee_a55d_047c1617b143_6f54f151_11fe_11ef_a5b8_047c1617b1431246.png"/><Relationship Id="rId1247" Type="http://schemas.openxmlformats.org/officeDocument/2006/relationships/image" Target="../media/985c7b16_ce7d_11ee_a55d_047c1617b143_6f54f152_11fe_11ef_a5b8_047c1617b1431247.png"/><Relationship Id="rId1248" Type="http://schemas.openxmlformats.org/officeDocument/2006/relationships/image" Target="../media/985c7b18_ce7d_11ee_a55d_047c1617b143_6f54f153_11fe_11ef_a5b8_047c1617b1431248.png"/><Relationship Id="rId1249" Type="http://schemas.openxmlformats.org/officeDocument/2006/relationships/image" Target="../media/985c7b1a_ce7d_11ee_a55d_047c1617b143_6f54f154_11fe_11ef_a5b8_047c1617b143124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9" name="Image_73" descr="Image_7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0" name="Image_74" descr="Image_7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1" name="Image_75" descr="Image_7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2" name="Image_77" descr="Image_7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3" name="Image_78" descr="Image_7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4" name="Image_79" descr="Image_7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5" name="Image_80" descr="Image_8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6" name="Image_81" descr="Image_8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7" name="Image_82" descr="Image_8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8" name="Image_83" descr="Image_8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9" name="Image_84" descr="Image_8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0" name="Image_85" descr="Image_8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1" name="Image_86" descr="Image_8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2" name="Image_87" descr="Image_8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3" name="Image_88" descr="Image_8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4" name="Image_89" descr="Image_8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5" name="Image_90" descr="Image_9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6" name="Image_91" descr="Image_9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7" name="Image_92" descr="Image_9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8" name="Image_93" descr="Image_9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9" name="Image_94" descr="Image_9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0" name="Image_95" descr="Image_9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1" name="Image_96" descr="Image_96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2" name="Image_97" descr="Image_97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3" name="Image_98" descr="Image_98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4" name="Image_99" descr="Image_99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5" name="Image_100" descr="Image_100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6" name="Image_101" descr="Image_101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7" name="Image_102" descr="Image_102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8" name="Image_103" descr="Image_103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9" name="Image_104" descr="Image_104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100" name="Image_105" descr="Image_105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1" name="Image_106" descr="Image_106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2" name="Image_107" descr="Image_107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3" name="Image_108" descr="Image_108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4" name="Image_109" descr="Image_109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5" name="Image_110" descr="Image_110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6" name="Image_111" descr="Image_111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7" name="Image_112" descr="Image_112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8" name="Image_113" descr="Image_113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9" name="Image_114" descr="Image_114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10" name="Image_115" descr="Image_115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1" name="Image_116" descr="Image_116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2" name="Image_117" descr="Image_117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3" name="Image_118" descr="Image_118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4" name="Image_120" descr="Image_120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5" name="Image_121" descr="Image_121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6" name="Image_122" descr="Image_122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7" name="Image_123" descr="Image_123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8" name="Image_124" descr="Image_124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9" name="Image_125" descr="Image_125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20" name="Image_126" descr="Image_126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21" name="Image_127" descr="Image_127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2" name="Image_128" descr="Image_128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3" name="Image_129" descr="Image_129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4" name="Image_130" descr="Image_130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5" name="Image_131" descr="Image_131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6" name="Image_132" descr="Image_132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7" name="Image_133" descr="Image_133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8" name="Image_134" descr="Image_134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9" name="Image_135" descr="Image_135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30" name="Image_136" descr="Image_136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31" name="Image_137" descr="Image_137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2" name="Image_138" descr="Image_138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3" name="Image_139" descr="Image_139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4" name="Image_140" descr="Image_140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5" name="Image_141" descr="Image_141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6" name="Image_142" descr="Image_142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7" name="Image_143" descr="Image_143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8" name="Image_146" descr="Image_146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9" name="Image_147" descr="Image_147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40" name="Image_148" descr="Image_148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1" name="Image_149" descr="Image_149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2" name="Image_150" descr="Image_150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3" name="Image_151" descr="Image_151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4" name="Image_152" descr="Image_152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5" name="Image_153" descr="Image_153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6" name="Image_154" descr="Image_154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7" name="Image_155" descr="Image_155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8" name="Image_156" descr="Image_156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9" name="Image_157" descr="Image_157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50" name="Image_158" descr="Image_158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1" name="Image_159" descr="Image_159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52" name="Image_160" descr="Image_160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3" name="Image_161" descr="Image_161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4" name="Image_162" descr="Image_162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5" name="Image_163" descr="Image_163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6" name="Image_164" descr="Image_164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57" name="Image_165" descr="Image_165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8" name="Image_166" descr="Image_166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9" name="Image_167" descr="Image_167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60" name="Image_168" descr="Image_168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61" name="Image_169" descr="Image_169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62" name="Image_170" descr="Image_170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3" name="Image_171" descr="Image_171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4" name="Image_172" descr="Image_172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5" name="Image_173" descr="Image_173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6" name="Image_174" descr="Image_174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67" name="Image_175" descr="Image_175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8" name="Image_176" descr="Image_176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9" name="Image_177" descr="Image_177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70" name="Image_178" descr="Image_178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71" name="Image_179" descr="Image_179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72" name="Image_180" descr="Image_180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3" name="Image_181" descr="Image_181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4" name="Image_182" descr="Image_182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5" name="Image_183" descr="Image_183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6" name="Image_184" descr="Image_184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77" name="Image_185" descr="Image_185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78" name="Image_186" descr="Image_186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9" name="Image_187" descr="Image_187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80" name="Image_188" descr="Image_188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81" name="Image_189" descr="Image_189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82" name="Image_190" descr="Image_190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83" name="Image_191" descr="Image_191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84" name="Image_192" descr="Image_192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85" name="Image_193" descr="Image_193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86" name="Image_194" descr="Image_194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87" name="Image_195" descr="Image_195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88" name="Image_196" descr="Image_196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9" name="Image_197" descr="Image_197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90" name="Image_198" descr="Image_198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91" name="Image_199" descr="Image_199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92" name="Image_200" descr="Image_200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93" name="Image_201" descr="Image_201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94" name="Image_202" descr="Image_202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95" name="Image_203" descr="Image_203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96" name="Image_204" descr="Image_204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97" name="Image_205" descr="Image_205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98" name="Image_206" descr="Image_206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99" name="Image_207" descr="Image_207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200" name="Image_208" descr="Image_208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201" name="Image_209" descr="Image_209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202" name="Image_210" descr="Image_210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203" name="Image_211" descr="Image_211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204" name="Image_212" descr="Image_212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05" name="Image_213" descr="Image_213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06" name="Image_214" descr="Image_214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07" name="Image_215" descr="Image_215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08" name="Image_216" descr="Image_216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09" name="Image_217" descr="Image_217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10" name="Image_218" descr="Image_218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11" name="Image_219" descr="Image_219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12" name="Image_220" descr="Image_220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13" name="Image_221" descr="Image_221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14" name="Image_222" descr="Image_222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15" name="Image_223" descr="Image_223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16" name="Image_224" descr="Image_224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17" name="Image_225" descr="Image_225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18" name="Image_226" descr="Image_226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19" name="Image_227" descr="Image_227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20" name="Image_228" descr="Image_228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21" name="Image_229" descr="Image_229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22" name="Image_230" descr="Image_230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23" name="Image_231" descr="Image_231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24" name="Image_232" descr="Image_232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25" name="Image_233" descr="Image_233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26" name="Image_234" descr="Image_234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27" name="Image_235" descr="Image_235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28" name="Image_236" descr="Image_236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29" name="Image_237" descr="Image_237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30" name="Image_238" descr="Image_238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31" name="Image_239" descr="Image_239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32" name="Image_240" descr="Image_240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33" name="Image_241" descr="Image_241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34" name="Image_242" descr="Image_242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35" name="Image_243" descr="Image_243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36" name="Image_244" descr="Image_244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37" name="Image_245" descr="Image_245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38" name="Image_246" descr="Image_246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39" name="Image_247" descr="Image_247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40" name="Image_248" descr="Image_248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41" name="Image_249" descr="Image_249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42" name="Image_250" descr="Image_250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43" name="Image_251" descr="Image_251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44" name="Image_252" descr="Image_252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45" name="Image_253" descr="Image_253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46" name="Image_254" descr="Image_254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47" name="Image_255" descr="Image_255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48" name="Image_256" descr="Image_256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49" name="Image_257" descr="Image_257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50" name="Image_258" descr="Image_258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51" name="Image_259" descr="Image_259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52" name="Image_260" descr="Image_260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53" name="Image_261" descr="Image_261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54" name="Image_262" descr="Image_262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55" name="Image_263" descr="Image_263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56" name="Image_264" descr="Image_264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57" name="Image_265" descr="Image_265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58" name="Image_266" descr="Image_266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59" name="Image_267" descr="Image_267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60" name="Image_268" descr="Image_268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61" name="Image_269" descr="Image_269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62" name="Image_270" descr="Image_270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63" name="Image_271" descr="Image_271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64" name="Image_272" descr="Image_272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65" name="Image_273" descr="Image_273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66" name="Image_274" descr="Image_274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67" name="Image_275" descr="Image_275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68" name="Image_276" descr="Image_276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69" name="Image_277" descr="Image_277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70" name="Image_278" descr="Image_278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71" name="Image_279" descr="Image_279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72" name="Image_280" descr="Image_280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73" name="Image_281" descr="Image_281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74" name="Image_282" descr="Image_282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75" name="Image_283" descr="Image_283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76" name="Image_284" descr="Image_284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77" name="Image_285" descr="Image_285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78" name="Image_286" descr="Image_286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79" name="Image_287" descr="Image_287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80" name="Image_288" descr="Image_288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81" name="Image_289" descr="Image_289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82" name="Image_290" descr="Image_290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83" name="Image_291" descr="Image_291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84" name="Image_292" descr="Image_292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85" name="Image_293" descr="Image_293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86" name="Image_294" descr="Image_294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87" name="Image_295" descr="Image_295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88" name="Image_296" descr="Image_296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89" name="Image_297" descr="Image_297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90" name="Image_298" descr="Image_298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91" name="Image_299" descr="Image_299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92" name="Image_300" descr="Image_300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93" name="Image_301" descr="Image_301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94" name="Image_302" descr="Image_302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95" name="Image_303" descr="Image_303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96" name="Image_304" descr="Image_304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97" name="Image_305" descr="Image_305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98" name="Image_306" descr="Image_306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99" name="Image_307" descr="Image_307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300" name="Image_308" descr="Image_308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301" name="Image_309" descr="Image_309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302" name="Image_310" descr="Image_310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303" name="Image_311" descr="Image_311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304" name="Image_312" descr="Image_312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305" name="Image_313" descr="Image_313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306" name="Image_314" descr="Image_314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307" name="Image_315" descr="Image_315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308" name="Image_316" descr="Image_316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309" name="Image_317" descr="Image_317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310" name="Image_318" descr="Image_318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311" name="Image_319" descr="Image_319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312" name="Image_320" descr="Image_320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313" name="Image_321" descr="Image_321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314" name="Image_322" descr="Image_322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15" name="Image_323" descr="Image_323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16" name="Image_324" descr="Image_324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17" name="Image_325" descr="Image_325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18" name="Image_326" descr="Image_326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19" name="Image_327" descr="Image_327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20" name="Image_328" descr="Image_328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21" name="Image_329" descr="Image_329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22" name="Image_330" descr="Image_330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23" name="Image_331" descr="Image_331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24" name="Image_332" descr="Image_332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25" name="Image_333" descr="Image_333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26" name="Image_334" descr="Image_334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27" name="Image_335" descr="Image_335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28" name="Image_336" descr="Image_336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29" name="Image_337" descr="Image_337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30" name="Image_338" descr="Image_338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31" name="Image_339" descr="Image_339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32" name="Image_340" descr="Image_340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33" name="Image_341" descr="Image_341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34" name="Image_342" descr="Image_342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35" name="Image_343" descr="Image_343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36" name="Image_344" descr="Image_344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37" name="Image_345" descr="Image_345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38" name="Image_346" descr="Image_346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39" name="Image_347" descr="Image_347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40" name="Image_348" descr="Image_348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41" name="Image_349" descr="Image_349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42" name="Image_350" descr="Image_350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43" name="Image_351" descr="Image_351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44" name="Image_352" descr="Image_352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45" name="Image_353" descr="Image_353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46" name="Image_354" descr="Image_354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47" name="Image_355" descr="Image_355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48" name="Image_356" descr="Image_356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49" name="Image_357" descr="Image_357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50" name="Image_358" descr="Image_358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51" name="Image_359" descr="Image_359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52" name="Image_360" descr="Image_360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53" name="Image_361" descr="Image_361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54" name="Image_362" descr="Image_362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55" name="Image_363" descr="Image_363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56" name="Image_364" descr="Image_364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57" name="Image_365" descr="Image_365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58" name="Image_366" descr="Image_366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59" name="Image_367" descr="Image_367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60" name="Image_368" descr="Image_368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61" name="Image_369" descr="Image_369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62" name="Image_370" descr="Image_370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63" name="Image_371" descr="Image_371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64" name="Image_372" descr="Image_372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65" name="Image_373" descr="Image_373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66" name="Image_374" descr="Image_374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67" name="Image_375" descr="Image_375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68" name="Image_376" descr="Image_376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69" name="Image_377" descr="Image_377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70" name="Image_378" descr="Image_378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71" name="Image_379" descr="Image_379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72" name="Image_380" descr="Image_380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73" name="Image_381" descr="Image_381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74" name="Image_382" descr="Image_382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75" name="Image_383" descr="Image_383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76" name="Image_384" descr="Image_384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77" name="Image_385" descr="Image_385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78" name="Image_386" descr="Image_386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79" name="Image_387" descr="Image_387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80" name="Image_388" descr="Image_388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81" name="Image_389" descr="Image_389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82" name="Image_390" descr="Image_390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83" name="Image_391" descr="Image_391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84" name="Image_392" descr="Image_392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85" name="Image_393" descr="Image_393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43000"/>
    <xdr:pic>
      <xdr:nvPicPr>
        <xdr:cNvPr id="386" name="Image_394" descr="Image_394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143000"/>
    <xdr:pic>
      <xdr:nvPicPr>
        <xdr:cNvPr id="387" name="Image_395" descr="Image_395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143000"/>
    <xdr:pic>
      <xdr:nvPicPr>
        <xdr:cNvPr id="388" name="Image_396" descr="Image_396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143000"/>
    <xdr:pic>
      <xdr:nvPicPr>
        <xdr:cNvPr id="389" name="Image_397" descr="Image_397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90" name="Image_398" descr="Image_398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1143000"/>
    <xdr:pic>
      <xdr:nvPicPr>
        <xdr:cNvPr id="391" name="Image_399" descr="Image_399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92" name="Image_400" descr="Image_400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393" name="Image_401" descr="Image_401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394" name="Image_402" descr="Image_402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95" name="Image_403" descr="Image_403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396" name="Image_404" descr="Image_404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397" name="Image_405" descr="Image_405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398" name="Image_406" descr="Image_406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399" name="Image_407" descr="Image_407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400" name="Image_408" descr="Image_408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401" name="Image_409" descr="Image_409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143000"/>
    <xdr:pic>
      <xdr:nvPicPr>
        <xdr:cNvPr id="402" name="Image_410" descr="Image_410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143000"/>
    <xdr:pic>
      <xdr:nvPicPr>
        <xdr:cNvPr id="403" name="Image_411" descr="Image_411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411</xdr:row>
      <xdr:rowOff>95250</xdr:rowOff>
    </xdr:from>
    <xdr:ext cx="1143000" cy="1143000"/>
    <xdr:pic>
      <xdr:nvPicPr>
        <xdr:cNvPr id="404" name="Image_412" descr="Image_412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412</xdr:row>
      <xdr:rowOff>95250</xdr:rowOff>
    </xdr:from>
    <xdr:ext cx="1143000" cy="1143000"/>
    <xdr:pic>
      <xdr:nvPicPr>
        <xdr:cNvPr id="405" name="Image_413" descr="Image_413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406" name="Image_414" descr="Image_414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407" name="Image_415" descr="Image_415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408" name="Image_416" descr="Image_416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409" name="Image_417" descr="Image_417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417</xdr:row>
      <xdr:rowOff>95250</xdr:rowOff>
    </xdr:from>
    <xdr:ext cx="1143000" cy="1143000"/>
    <xdr:pic>
      <xdr:nvPicPr>
        <xdr:cNvPr id="410" name="Image_418" descr="Image_418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418</xdr:row>
      <xdr:rowOff>95250</xdr:rowOff>
    </xdr:from>
    <xdr:ext cx="1143000" cy="1143000"/>
    <xdr:pic>
      <xdr:nvPicPr>
        <xdr:cNvPr id="411" name="Image_419" descr="Image_419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419</xdr:row>
      <xdr:rowOff>95250</xdr:rowOff>
    </xdr:from>
    <xdr:ext cx="1143000" cy="1143000"/>
    <xdr:pic>
      <xdr:nvPicPr>
        <xdr:cNvPr id="412" name="Image_420" descr="Image_420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420</xdr:row>
      <xdr:rowOff>95250</xdr:rowOff>
    </xdr:from>
    <xdr:ext cx="1143000" cy="1143000"/>
    <xdr:pic>
      <xdr:nvPicPr>
        <xdr:cNvPr id="413" name="Image_421" descr="Image_421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421</xdr:row>
      <xdr:rowOff>95250</xdr:rowOff>
    </xdr:from>
    <xdr:ext cx="1143000" cy="1143000"/>
    <xdr:pic>
      <xdr:nvPicPr>
        <xdr:cNvPr id="414" name="Image_422" descr="Image_422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422</xdr:row>
      <xdr:rowOff>95250</xdr:rowOff>
    </xdr:from>
    <xdr:ext cx="1143000" cy="1143000"/>
    <xdr:pic>
      <xdr:nvPicPr>
        <xdr:cNvPr id="415" name="Image_423" descr="Image_423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423</xdr:row>
      <xdr:rowOff>95250</xdr:rowOff>
    </xdr:from>
    <xdr:ext cx="1143000" cy="1143000"/>
    <xdr:pic>
      <xdr:nvPicPr>
        <xdr:cNvPr id="416" name="Image_424" descr="Image_424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424</xdr:row>
      <xdr:rowOff>95250</xdr:rowOff>
    </xdr:from>
    <xdr:ext cx="1143000" cy="1143000"/>
    <xdr:pic>
      <xdr:nvPicPr>
        <xdr:cNvPr id="417" name="Image_425" descr="Image_425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425</xdr:row>
      <xdr:rowOff>95250</xdr:rowOff>
    </xdr:from>
    <xdr:ext cx="1143000" cy="1143000"/>
    <xdr:pic>
      <xdr:nvPicPr>
        <xdr:cNvPr id="418" name="Image_426" descr="Image_426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426</xdr:row>
      <xdr:rowOff>95250</xdr:rowOff>
    </xdr:from>
    <xdr:ext cx="1143000" cy="1143000"/>
    <xdr:pic>
      <xdr:nvPicPr>
        <xdr:cNvPr id="419" name="Image_427" descr="Image_427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427</xdr:row>
      <xdr:rowOff>95250</xdr:rowOff>
    </xdr:from>
    <xdr:ext cx="1143000" cy="1143000"/>
    <xdr:pic>
      <xdr:nvPicPr>
        <xdr:cNvPr id="420" name="Image_428" descr="Image_428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428</xdr:row>
      <xdr:rowOff>95250</xdr:rowOff>
    </xdr:from>
    <xdr:ext cx="1143000" cy="1143000"/>
    <xdr:pic>
      <xdr:nvPicPr>
        <xdr:cNvPr id="421" name="Image_429" descr="Image_429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429</xdr:row>
      <xdr:rowOff>95250</xdr:rowOff>
    </xdr:from>
    <xdr:ext cx="1143000" cy="1143000"/>
    <xdr:pic>
      <xdr:nvPicPr>
        <xdr:cNvPr id="422" name="Image_430" descr="Image_430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430</xdr:row>
      <xdr:rowOff>95250</xdr:rowOff>
    </xdr:from>
    <xdr:ext cx="1143000" cy="1143000"/>
    <xdr:pic>
      <xdr:nvPicPr>
        <xdr:cNvPr id="423" name="Image_431" descr="Image_431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431</xdr:row>
      <xdr:rowOff>95250</xdr:rowOff>
    </xdr:from>
    <xdr:ext cx="1143000" cy="1143000"/>
    <xdr:pic>
      <xdr:nvPicPr>
        <xdr:cNvPr id="424" name="Image_432" descr="Image_432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432</xdr:row>
      <xdr:rowOff>95250</xdr:rowOff>
    </xdr:from>
    <xdr:ext cx="1143000" cy="1143000"/>
    <xdr:pic>
      <xdr:nvPicPr>
        <xdr:cNvPr id="425" name="Image_433" descr="Image_433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433</xdr:row>
      <xdr:rowOff>95250</xdr:rowOff>
    </xdr:from>
    <xdr:ext cx="1143000" cy="1143000"/>
    <xdr:pic>
      <xdr:nvPicPr>
        <xdr:cNvPr id="426" name="Image_434" descr="Image_434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434</xdr:row>
      <xdr:rowOff>95250</xdr:rowOff>
    </xdr:from>
    <xdr:ext cx="1143000" cy="1143000"/>
    <xdr:pic>
      <xdr:nvPicPr>
        <xdr:cNvPr id="427" name="Image_435" descr="Image_435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435</xdr:row>
      <xdr:rowOff>95250</xdr:rowOff>
    </xdr:from>
    <xdr:ext cx="1143000" cy="1143000"/>
    <xdr:pic>
      <xdr:nvPicPr>
        <xdr:cNvPr id="428" name="Image_436" descr="Image_436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436</xdr:row>
      <xdr:rowOff>95250</xdr:rowOff>
    </xdr:from>
    <xdr:ext cx="1143000" cy="1143000"/>
    <xdr:pic>
      <xdr:nvPicPr>
        <xdr:cNvPr id="429" name="Image_437" descr="Image_437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437</xdr:row>
      <xdr:rowOff>95250</xdr:rowOff>
    </xdr:from>
    <xdr:ext cx="1143000" cy="1143000"/>
    <xdr:pic>
      <xdr:nvPicPr>
        <xdr:cNvPr id="430" name="Image_438" descr="Image_438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438</xdr:row>
      <xdr:rowOff>95250</xdr:rowOff>
    </xdr:from>
    <xdr:ext cx="1143000" cy="1143000"/>
    <xdr:pic>
      <xdr:nvPicPr>
        <xdr:cNvPr id="431" name="Image_439" descr="Image_439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439</xdr:row>
      <xdr:rowOff>95250</xdr:rowOff>
    </xdr:from>
    <xdr:ext cx="1143000" cy="1143000"/>
    <xdr:pic>
      <xdr:nvPicPr>
        <xdr:cNvPr id="432" name="Image_440" descr="Image_440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440</xdr:row>
      <xdr:rowOff>95250</xdr:rowOff>
    </xdr:from>
    <xdr:ext cx="1143000" cy="1143000"/>
    <xdr:pic>
      <xdr:nvPicPr>
        <xdr:cNvPr id="433" name="Image_441" descr="Image_441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441</xdr:row>
      <xdr:rowOff>95250</xdr:rowOff>
    </xdr:from>
    <xdr:ext cx="1143000" cy="1143000"/>
    <xdr:pic>
      <xdr:nvPicPr>
        <xdr:cNvPr id="434" name="Image_442" descr="Image_442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442</xdr:row>
      <xdr:rowOff>95250</xdr:rowOff>
    </xdr:from>
    <xdr:ext cx="1143000" cy="1143000"/>
    <xdr:pic>
      <xdr:nvPicPr>
        <xdr:cNvPr id="435" name="Image_443" descr="Image_443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443</xdr:row>
      <xdr:rowOff>95250</xdr:rowOff>
    </xdr:from>
    <xdr:ext cx="1143000" cy="1143000"/>
    <xdr:pic>
      <xdr:nvPicPr>
        <xdr:cNvPr id="436" name="Image_444" descr="Image_444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444</xdr:row>
      <xdr:rowOff>95250</xdr:rowOff>
    </xdr:from>
    <xdr:ext cx="1143000" cy="1143000"/>
    <xdr:pic>
      <xdr:nvPicPr>
        <xdr:cNvPr id="437" name="Image_445" descr="Image_445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445</xdr:row>
      <xdr:rowOff>95250</xdr:rowOff>
    </xdr:from>
    <xdr:ext cx="1143000" cy="1143000"/>
    <xdr:pic>
      <xdr:nvPicPr>
        <xdr:cNvPr id="438" name="Image_446" descr="Image_446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446</xdr:row>
      <xdr:rowOff>95250</xdr:rowOff>
    </xdr:from>
    <xdr:ext cx="1143000" cy="1143000"/>
    <xdr:pic>
      <xdr:nvPicPr>
        <xdr:cNvPr id="439" name="Image_447" descr="Image_447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447</xdr:row>
      <xdr:rowOff>95250</xdr:rowOff>
    </xdr:from>
    <xdr:ext cx="1143000" cy="1143000"/>
    <xdr:pic>
      <xdr:nvPicPr>
        <xdr:cNvPr id="440" name="Image_448" descr="Image_448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448</xdr:row>
      <xdr:rowOff>95250</xdr:rowOff>
    </xdr:from>
    <xdr:ext cx="1143000" cy="1143000"/>
    <xdr:pic>
      <xdr:nvPicPr>
        <xdr:cNvPr id="441" name="Image_449" descr="Image_449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449</xdr:row>
      <xdr:rowOff>95250</xdr:rowOff>
    </xdr:from>
    <xdr:ext cx="1143000" cy="1143000"/>
    <xdr:pic>
      <xdr:nvPicPr>
        <xdr:cNvPr id="442" name="Image_450" descr="Image_450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450</xdr:row>
      <xdr:rowOff>95250</xdr:rowOff>
    </xdr:from>
    <xdr:ext cx="1143000" cy="1143000"/>
    <xdr:pic>
      <xdr:nvPicPr>
        <xdr:cNvPr id="443" name="Image_451" descr="Image_451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451</xdr:row>
      <xdr:rowOff>95250</xdr:rowOff>
    </xdr:from>
    <xdr:ext cx="1143000" cy="1143000"/>
    <xdr:pic>
      <xdr:nvPicPr>
        <xdr:cNvPr id="444" name="Image_452" descr="Image_452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452</xdr:row>
      <xdr:rowOff>95250</xdr:rowOff>
    </xdr:from>
    <xdr:ext cx="1143000" cy="1143000"/>
    <xdr:pic>
      <xdr:nvPicPr>
        <xdr:cNvPr id="445" name="Image_453" descr="Image_453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453</xdr:row>
      <xdr:rowOff>95250</xdr:rowOff>
    </xdr:from>
    <xdr:ext cx="1143000" cy="1143000"/>
    <xdr:pic>
      <xdr:nvPicPr>
        <xdr:cNvPr id="446" name="Image_454" descr="Image_454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454</xdr:row>
      <xdr:rowOff>95250</xdr:rowOff>
    </xdr:from>
    <xdr:ext cx="1143000" cy="1143000"/>
    <xdr:pic>
      <xdr:nvPicPr>
        <xdr:cNvPr id="447" name="Image_455" descr="Image_455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455</xdr:row>
      <xdr:rowOff>95250</xdr:rowOff>
    </xdr:from>
    <xdr:ext cx="1143000" cy="1143000"/>
    <xdr:pic>
      <xdr:nvPicPr>
        <xdr:cNvPr id="448" name="Image_456" descr="Image_456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456</xdr:row>
      <xdr:rowOff>95250</xdr:rowOff>
    </xdr:from>
    <xdr:ext cx="1143000" cy="1143000"/>
    <xdr:pic>
      <xdr:nvPicPr>
        <xdr:cNvPr id="449" name="Image_457" descr="Image_457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457</xdr:row>
      <xdr:rowOff>95250</xdr:rowOff>
    </xdr:from>
    <xdr:ext cx="1143000" cy="1143000"/>
    <xdr:pic>
      <xdr:nvPicPr>
        <xdr:cNvPr id="450" name="Image_458" descr="Image_458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458</xdr:row>
      <xdr:rowOff>95250</xdr:rowOff>
    </xdr:from>
    <xdr:ext cx="1143000" cy="1143000"/>
    <xdr:pic>
      <xdr:nvPicPr>
        <xdr:cNvPr id="451" name="Image_459" descr="Image_459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459</xdr:row>
      <xdr:rowOff>95250</xdr:rowOff>
    </xdr:from>
    <xdr:ext cx="1143000" cy="1143000"/>
    <xdr:pic>
      <xdr:nvPicPr>
        <xdr:cNvPr id="452" name="Image_460" descr="Image_460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460</xdr:row>
      <xdr:rowOff>95250</xdr:rowOff>
    </xdr:from>
    <xdr:ext cx="1143000" cy="1143000"/>
    <xdr:pic>
      <xdr:nvPicPr>
        <xdr:cNvPr id="453" name="Image_461" descr="Image_461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461</xdr:row>
      <xdr:rowOff>95250</xdr:rowOff>
    </xdr:from>
    <xdr:ext cx="1143000" cy="1143000"/>
    <xdr:pic>
      <xdr:nvPicPr>
        <xdr:cNvPr id="454" name="Image_462" descr="Image_462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462</xdr:row>
      <xdr:rowOff>95250</xdr:rowOff>
    </xdr:from>
    <xdr:ext cx="1143000" cy="1143000"/>
    <xdr:pic>
      <xdr:nvPicPr>
        <xdr:cNvPr id="455" name="Image_463" descr="Image_463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463</xdr:row>
      <xdr:rowOff>95250</xdr:rowOff>
    </xdr:from>
    <xdr:ext cx="1143000" cy="1143000"/>
    <xdr:pic>
      <xdr:nvPicPr>
        <xdr:cNvPr id="456" name="Image_464" descr="Image_464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464</xdr:row>
      <xdr:rowOff>95250</xdr:rowOff>
    </xdr:from>
    <xdr:ext cx="1143000" cy="1143000"/>
    <xdr:pic>
      <xdr:nvPicPr>
        <xdr:cNvPr id="457" name="Image_465" descr="Image_465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465</xdr:row>
      <xdr:rowOff>95250</xdr:rowOff>
    </xdr:from>
    <xdr:ext cx="1143000" cy="1143000"/>
    <xdr:pic>
      <xdr:nvPicPr>
        <xdr:cNvPr id="458" name="Image_466" descr="Image_466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466</xdr:row>
      <xdr:rowOff>95250</xdr:rowOff>
    </xdr:from>
    <xdr:ext cx="1143000" cy="1143000"/>
    <xdr:pic>
      <xdr:nvPicPr>
        <xdr:cNvPr id="459" name="Image_467" descr="Image_467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467</xdr:row>
      <xdr:rowOff>95250</xdr:rowOff>
    </xdr:from>
    <xdr:ext cx="1143000" cy="1143000"/>
    <xdr:pic>
      <xdr:nvPicPr>
        <xdr:cNvPr id="460" name="Image_468" descr="Image_468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468</xdr:row>
      <xdr:rowOff>95250</xdr:rowOff>
    </xdr:from>
    <xdr:ext cx="1143000" cy="1143000"/>
    <xdr:pic>
      <xdr:nvPicPr>
        <xdr:cNvPr id="461" name="Image_469" descr="Image_469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469</xdr:row>
      <xdr:rowOff>95250</xdr:rowOff>
    </xdr:from>
    <xdr:ext cx="1143000" cy="1143000"/>
    <xdr:pic>
      <xdr:nvPicPr>
        <xdr:cNvPr id="462" name="Image_470" descr="Image_470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470</xdr:row>
      <xdr:rowOff>95250</xdr:rowOff>
    </xdr:from>
    <xdr:ext cx="1143000" cy="1143000"/>
    <xdr:pic>
      <xdr:nvPicPr>
        <xdr:cNvPr id="463" name="Image_471" descr="Image_471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471</xdr:row>
      <xdr:rowOff>95250</xdr:rowOff>
    </xdr:from>
    <xdr:ext cx="1143000" cy="1143000"/>
    <xdr:pic>
      <xdr:nvPicPr>
        <xdr:cNvPr id="464" name="Image_472" descr="Image_472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472</xdr:row>
      <xdr:rowOff>95250</xdr:rowOff>
    </xdr:from>
    <xdr:ext cx="1143000" cy="1143000"/>
    <xdr:pic>
      <xdr:nvPicPr>
        <xdr:cNvPr id="465" name="Image_473" descr="Image_473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473</xdr:row>
      <xdr:rowOff>95250</xdr:rowOff>
    </xdr:from>
    <xdr:ext cx="1143000" cy="1143000"/>
    <xdr:pic>
      <xdr:nvPicPr>
        <xdr:cNvPr id="466" name="Image_474" descr="Image_474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474</xdr:row>
      <xdr:rowOff>95250</xdr:rowOff>
    </xdr:from>
    <xdr:ext cx="1143000" cy="1143000"/>
    <xdr:pic>
      <xdr:nvPicPr>
        <xdr:cNvPr id="467" name="Image_475" descr="Image_475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475</xdr:row>
      <xdr:rowOff>95250</xdr:rowOff>
    </xdr:from>
    <xdr:ext cx="1143000" cy="1143000"/>
    <xdr:pic>
      <xdr:nvPicPr>
        <xdr:cNvPr id="468" name="Image_476" descr="Image_476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476</xdr:row>
      <xdr:rowOff>95250</xdr:rowOff>
    </xdr:from>
    <xdr:ext cx="1143000" cy="1143000"/>
    <xdr:pic>
      <xdr:nvPicPr>
        <xdr:cNvPr id="469" name="Image_477" descr="Image_477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477</xdr:row>
      <xdr:rowOff>95250</xdr:rowOff>
    </xdr:from>
    <xdr:ext cx="1143000" cy="1143000"/>
    <xdr:pic>
      <xdr:nvPicPr>
        <xdr:cNvPr id="470" name="Image_478" descr="Image_478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478</xdr:row>
      <xdr:rowOff>95250</xdr:rowOff>
    </xdr:from>
    <xdr:ext cx="1143000" cy="1143000"/>
    <xdr:pic>
      <xdr:nvPicPr>
        <xdr:cNvPr id="471" name="Image_479" descr="Image_479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479</xdr:row>
      <xdr:rowOff>95250</xdr:rowOff>
    </xdr:from>
    <xdr:ext cx="1143000" cy="1143000"/>
    <xdr:pic>
      <xdr:nvPicPr>
        <xdr:cNvPr id="472" name="Image_480" descr="Image_480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480</xdr:row>
      <xdr:rowOff>95250</xdr:rowOff>
    </xdr:from>
    <xdr:ext cx="1143000" cy="1143000"/>
    <xdr:pic>
      <xdr:nvPicPr>
        <xdr:cNvPr id="473" name="Image_481" descr="Image_481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481</xdr:row>
      <xdr:rowOff>95250</xdr:rowOff>
    </xdr:from>
    <xdr:ext cx="1143000" cy="1143000"/>
    <xdr:pic>
      <xdr:nvPicPr>
        <xdr:cNvPr id="474" name="Image_482" descr="Image_482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482</xdr:row>
      <xdr:rowOff>95250</xdr:rowOff>
    </xdr:from>
    <xdr:ext cx="1143000" cy="1143000"/>
    <xdr:pic>
      <xdr:nvPicPr>
        <xdr:cNvPr id="475" name="Image_483" descr="Image_483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483</xdr:row>
      <xdr:rowOff>95250</xdr:rowOff>
    </xdr:from>
    <xdr:ext cx="1143000" cy="1143000"/>
    <xdr:pic>
      <xdr:nvPicPr>
        <xdr:cNvPr id="476" name="Image_484" descr="Image_484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484</xdr:row>
      <xdr:rowOff>95250</xdr:rowOff>
    </xdr:from>
    <xdr:ext cx="1143000" cy="1143000"/>
    <xdr:pic>
      <xdr:nvPicPr>
        <xdr:cNvPr id="477" name="Image_485" descr="Image_485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485</xdr:row>
      <xdr:rowOff>95250</xdr:rowOff>
    </xdr:from>
    <xdr:ext cx="1143000" cy="1143000"/>
    <xdr:pic>
      <xdr:nvPicPr>
        <xdr:cNvPr id="478" name="Image_486" descr="Image_486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486</xdr:row>
      <xdr:rowOff>95250</xdr:rowOff>
    </xdr:from>
    <xdr:ext cx="1143000" cy="1143000"/>
    <xdr:pic>
      <xdr:nvPicPr>
        <xdr:cNvPr id="479" name="Image_487" descr="Image_487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487</xdr:row>
      <xdr:rowOff>95250</xdr:rowOff>
    </xdr:from>
    <xdr:ext cx="1143000" cy="1143000"/>
    <xdr:pic>
      <xdr:nvPicPr>
        <xdr:cNvPr id="480" name="Image_488" descr="Image_488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488</xdr:row>
      <xdr:rowOff>95250</xdr:rowOff>
    </xdr:from>
    <xdr:ext cx="1143000" cy="1143000"/>
    <xdr:pic>
      <xdr:nvPicPr>
        <xdr:cNvPr id="481" name="Image_489" descr="Image_489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489</xdr:row>
      <xdr:rowOff>95250</xdr:rowOff>
    </xdr:from>
    <xdr:ext cx="1143000" cy="1143000"/>
    <xdr:pic>
      <xdr:nvPicPr>
        <xdr:cNvPr id="482" name="Image_490" descr="Image_490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490</xdr:row>
      <xdr:rowOff>95250</xdr:rowOff>
    </xdr:from>
    <xdr:ext cx="1143000" cy="1143000"/>
    <xdr:pic>
      <xdr:nvPicPr>
        <xdr:cNvPr id="483" name="Image_491" descr="Image_491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491</xdr:row>
      <xdr:rowOff>95250</xdr:rowOff>
    </xdr:from>
    <xdr:ext cx="1143000" cy="1143000"/>
    <xdr:pic>
      <xdr:nvPicPr>
        <xdr:cNvPr id="484" name="Image_492" descr="Image_492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492</xdr:row>
      <xdr:rowOff>95250</xdr:rowOff>
    </xdr:from>
    <xdr:ext cx="1143000" cy="1143000"/>
    <xdr:pic>
      <xdr:nvPicPr>
        <xdr:cNvPr id="485" name="Image_493" descr="Image_493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493</xdr:row>
      <xdr:rowOff>95250</xdr:rowOff>
    </xdr:from>
    <xdr:ext cx="1143000" cy="1143000"/>
    <xdr:pic>
      <xdr:nvPicPr>
        <xdr:cNvPr id="486" name="Image_494" descr="Image_494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494</xdr:row>
      <xdr:rowOff>95250</xdr:rowOff>
    </xdr:from>
    <xdr:ext cx="1143000" cy="1143000"/>
    <xdr:pic>
      <xdr:nvPicPr>
        <xdr:cNvPr id="487" name="Image_495" descr="Image_495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495</xdr:row>
      <xdr:rowOff>95250</xdr:rowOff>
    </xdr:from>
    <xdr:ext cx="1143000" cy="1143000"/>
    <xdr:pic>
      <xdr:nvPicPr>
        <xdr:cNvPr id="488" name="Image_496" descr="Image_496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496</xdr:row>
      <xdr:rowOff>95250</xdr:rowOff>
    </xdr:from>
    <xdr:ext cx="1143000" cy="1143000"/>
    <xdr:pic>
      <xdr:nvPicPr>
        <xdr:cNvPr id="489" name="Image_497" descr="Image_497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497</xdr:row>
      <xdr:rowOff>95250</xdr:rowOff>
    </xdr:from>
    <xdr:ext cx="1143000" cy="1143000"/>
    <xdr:pic>
      <xdr:nvPicPr>
        <xdr:cNvPr id="490" name="Image_498" descr="Image_498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498</xdr:row>
      <xdr:rowOff>95250</xdr:rowOff>
    </xdr:from>
    <xdr:ext cx="1143000" cy="1143000"/>
    <xdr:pic>
      <xdr:nvPicPr>
        <xdr:cNvPr id="491" name="Image_499" descr="Image_499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499</xdr:row>
      <xdr:rowOff>95250</xdr:rowOff>
    </xdr:from>
    <xdr:ext cx="1143000" cy="1143000"/>
    <xdr:pic>
      <xdr:nvPicPr>
        <xdr:cNvPr id="492" name="Image_500" descr="Image_500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500</xdr:row>
      <xdr:rowOff>95250</xdr:rowOff>
    </xdr:from>
    <xdr:ext cx="1143000" cy="1143000"/>
    <xdr:pic>
      <xdr:nvPicPr>
        <xdr:cNvPr id="493" name="Image_501" descr="Image_501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501</xdr:row>
      <xdr:rowOff>95250</xdr:rowOff>
    </xdr:from>
    <xdr:ext cx="1143000" cy="1143000"/>
    <xdr:pic>
      <xdr:nvPicPr>
        <xdr:cNvPr id="494" name="Image_502" descr="Image_502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502</xdr:row>
      <xdr:rowOff>95250</xdr:rowOff>
    </xdr:from>
    <xdr:ext cx="1143000" cy="1143000"/>
    <xdr:pic>
      <xdr:nvPicPr>
        <xdr:cNvPr id="495" name="Image_503" descr="Image_503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503</xdr:row>
      <xdr:rowOff>95250</xdr:rowOff>
    </xdr:from>
    <xdr:ext cx="1143000" cy="1143000"/>
    <xdr:pic>
      <xdr:nvPicPr>
        <xdr:cNvPr id="496" name="Image_504" descr="Image_504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504</xdr:row>
      <xdr:rowOff>95250</xdr:rowOff>
    </xdr:from>
    <xdr:ext cx="1143000" cy="1143000"/>
    <xdr:pic>
      <xdr:nvPicPr>
        <xdr:cNvPr id="497" name="Image_505" descr="Image_505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505</xdr:row>
      <xdr:rowOff>95250</xdr:rowOff>
    </xdr:from>
    <xdr:ext cx="1143000" cy="1143000"/>
    <xdr:pic>
      <xdr:nvPicPr>
        <xdr:cNvPr id="498" name="Image_506" descr="Image_506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506</xdr:row>
      <xdr:rowOff>95250</xdr:rowOff>
    </xdr:from>
    <xdr:ext cx="1143000" cy="1143000"/>
    <xdr:pic>
      <xdr:nvPicPr>
        <xdr:cNvPr id="499" name="Image_507" descr="Image_507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507</xdr:row>
      <xdr:rowOff>95250</xdr:rowOff>
    </xdr:from>
    <xdr:ext cx="1143000" cy="1143000"/>
    <xdr:pic>
      <xdr:nvPicPr>
        <xdr:cNvPr id="500" name="Image_508" descr="Image_508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508</xdr:row>
      <xdr:rowOff>95250</xdr:rowOff>
    </xdr:from>
    <xdr:ext cx="1143000" cy="1143000"/>
    <xdr:pic>
      <xdr:nvPicPr>
        <xdr:cNvPr id="501" name="Image_509" descr="Image_509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509</xdr:row>
      <xdr:rowOff>95250</xdr:rowOff>
    </xdr:from>
    <xdr:ext cx="1143000" cy="1143000"/>
    <xdr:pic>
      <xdr:nvPicPr>
        <xdr:cNvPr id="502" name="Image_510" descr="Image_510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510</xdr:row>
      <xdr:rowOff>95250</xdr:rowOff>
    </xdr:from>
    <xdr:ext cx="1143000" cy="1143000"/>
    <xdr:pic>
      <xdr:nvPicPr>
        <xdr:cNvPr id="503" name="Image_511" descr="Image_511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511</xdr:row>
      <xdr:rowOff>95250</xdr:rowOff>
    </xdr:from>
    <xdr:ext cx="1143000" cy="1143000"/>
    <xdr:pic>
      <xdr:nvPicPr>
        <xdr:cNvPr id="504" name="Image_512" descr="Image_512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512</xdr:row>
      <xdr:rowOff>95250</xdr:rowOff>
    </xdr:from>
    <xdr:ext cx="1143000" cy="1143000"/>
    <xdr:pic>
      <xdr:nvPicPr>
        <xdr:cNvPr id="505" name="Image_513" descr="Image_513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513</xdr:row>
      <xdr:rowOff>95250</xdr:rowOff>
    </xdr:from>
    <xdr:ext cx="1143000" cy="1143000"/>
    <xdr:pic>
      <xdr:nvPicPr>
        <xdr:cNvPr id="506" name="Image_514" descr="Image_514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514</xdr:row>
      <xdr:rowOff>95250</xdr:rowOff>
    </xdr:from>
    <xdr:ext cx="1143000" cy="1143000"/>
    <xdr:pic>
      <xdr:nvPicPr>
        <xdr:cNvPr id="507" name="Image_515" descr="Image_515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515</xdr:row>
      <xdr:rowOff>95250</xdr:rowOff>
    </xdr:from>
    <xdr:ext cx="1143000" cy="1143000"/>
    <xdr:pic>
      <xdr:nvPicPr>
        <xdr:cNvPr id="508" name="Image_516" descr="Image_516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516</xdr:row>
      <xdr:rowOff>95250</xdr:rowOff>
    </xdr:from>
    <xdr:ext cx="1143000" cy="1143000"/>
    <xdr:pic>
      <xdr:nvPicPr>
        <xdr:cNvPr id="509" name="Image_517" descr="Image_517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517</xdr:row>
      <xdr:rowOff>95250</xdr:rowOff>
    </xdr:from>
    <xdr:ext cx="1143000" cy="1143000"/>
    <xdr:pic>
      <xdr:nvPicPr>
        <xdr:cNvPr id="510" name="Image_518" descr="Image_518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518</xdr:row>
      <xdr:rowOff>95250</xdr:rowOff>
    </xdr:from>
    <xdr:ext cx="1143000" cy="1143000"/>
    <xdr:pic>
      <xdr:nvPicPr>
        <xdr:cNvPr id="511" name="Image_519" descr="Image_519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519</xdr:row>
      <xdr:rowOff>95250</xdr:rowOff>
    </xdr:from>
    <xdr:ext cx="1143000" cy="1143000"/>
    <xdr:pic>
      <xdr:nvPicPr>
        <xdr:cNvPr id="512" name="Image_520" descr="Image_520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520</xdr:row>
      <xdr:rowOff>95250</xdr:rowOff>
    </xdr:from>
    <xdr:ext cx="1143000" cy="1143000"/>
    <xdr:pic>
      <xdr:nvPicPr>
        <xdr:cNvPr id="513" name="Image_521" descr="Image_521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521</xdr:row>
      <xdr:rowOff>95250</xdr:rowOff>
    </xdr:from>
    <xdr:ext cx="1143000" cy="1143000"/>
    <xdr:pic>
      <xdr:nvPicPr>
        <xdr:cNvPr id="514" name="Image_522" descr="Image_522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522</xdr:row>
      <xdr:rowOff>95250</xdr:rowOff>
    </xdr:from>
    <xdr:ext cx="1143000" cy="1143000"/>
    <xdr:pic>
      <xdr:nvPicPr>
        <xdr:cNvPr id="515" name="Image_523" descr="Image_523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523</xdr:row>
      <xdr:rowOff>95250</xdr:rowOff>
    </xdr:from>
    <xdr:ext cx="1143000" cy="1143000"/>
    <xdr:pic>
      <xdr:nvPicPr>
        <xdr:cNvPr id="516" name="Image_524" descr="Image_524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524</xdr:row>
      <xdr:rowOff>95250</xdr:rowOff>
    </xdr:from>
    <xdr:ext cx="1143000" cy="1143000"/>
    <xdr:pic>
      <xdr:nvPicPr>
        <xdr:cNvPr id="517" name="Image_525" descr="Image_525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525</xdr:row>
      <xdr:rowOff>95250</xdr:rowOff>
    </xdr:from>
    <xdr:ext cx="1143000" cy="1143000"/>
    <xdr:pic>
      <xdr:nvPicPr>
        <xdr:cNvPr id="518" name="Image_526" descr="Image_526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526</xdr:row>
      <xdr:rowOff>95250</xdr:rowOff>
    </xdr:from>
    <xdr:ext cx="1143000" cy="1143000"/>
    <xdr:pic>
      <xdr:nvPicPr>
        <xdr:cNvPr id="519" name="Image_527" descr="Image_527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527</xdr:row>
      <xdr:rowOff>95250</xdr:rowOff>
    </xdr:from>
    <xdr:ext cx="1143000" cy="1143000"/>
    <xdr:pic>
      <xdr:nvPicPr>
        <xdr:cNvPr id="520" name="Image_528" descr="Image_528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528</xdr:row>
      <xdr:rowOff>95250</xdr:rowOff>
    </xdr:from>
    <xdr:ext cx="1143000" cy="1143000"/>
    <xdr:pic>
      <xdr:nvPicPr>
        <xdr:cNvPr id="521" name="Image_529" descr="Image_529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529</xdr:row>
      <xdr:rowOff>95250</xdr:rowOff>
    </xdr:from>
    <xdr:ext cx="1143000" cy="1143000"/>
    <xdr:pic>
      <xdr:nvPicPr>
        <xdr:cNvPr id="522" name="Image_530" descr="Image_530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530</xdr:row>
      <xdr:rowOff>95250</xdr:rowOff>
    </xdr:from>
    <xdr:ext cx="1143000" cy="1143000"/>
    <xdr:pic>
      <xdr:nvPicPr>
        <xdr:cNvPr id="523" name="Image_531" descr="Image_531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531</xdr:row>
      <xdr:rowOff>95250</xdr:rowOff>
    </xdr:from>
    <xdr:ext cx="1143000" cy="1143000"/>
    <xdr:pic>
      <xdr:nvPicPr>
        <xdr:cNvPr id="524" name="Image_532" descr="Image_532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532</xdr:row>
      <xdr:rowOff>95250</xdr:rowOff>
    </xdr:from>
    <xdr:ext cx="1143000" cy="1143000"/>
    <xdr:pic>
      <xdr:nvPicPr>
        <xdr:cNvPr id="525" name="Image_533" descr="Image_533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533</xdr:row>
      <xdr:rowOff>95250</xdr:rowOff>
    </xdr:from>
    <xdr:ext cx="1143000" cy="1143000"/>
    <xdr:pic>
      <xdr:nvPicPr>
        <xdr:cNvPr id="526" name="Image_534" descr="Image_534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534</xdr:row>
      <xdr:rowOff>95250</xdr:rowOff>
    </xdr:from>
    <xdr:ext cx="1143000" cy="1143000"/>
    <xdr:pic>
      <xdr:nvPicPr>
        <xdr:cNvPr id="527" name="Image_535" descr="Image_535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535</xdr:row>
      <xdr:rowOff>95250</xdr:rowOff>
    </xdr:from>
    <xdr:ext cx="1143000" cy="1143000"/>
    <xdr:pic>
      <xdr:nvPicPr>
        <xdr:cNvPr id="528" name="Image_536" descr="Image_536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536</xdr:row>
      <xdr:rowOff>95250</xdr:rowOff>
    </xdr:from>
    <xdr:ext cx="1143000" cy="1143000"/>
    <xdr:pic>
      <xdr:nvPicPr>
        <xdr:cNvPr id="529" name="Image_537" descr="Image_537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537</xdr:row>
      <xdr:rowOff>95250</xdr:rowOff>
    </xdr:from>
    <xdr:ext cx="1143000" cy="1143000"/>
    <xdr:pic>
      <xdr:nvPicPr>
        <xdr:cNvPr id="530" name="Image_538" descr="Image_538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538</xdr:row>
      <xdr:rowOff>95250</xdr:rowOff>
    </xdr:from>
    <xdr:ext cx="1143000" cy="1143000"/>
    <xdr:pic>
      <xdr:nvPicPr>
        <xdr:cNvPr id="531" name="Image_539" descr="Image_539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539</xdr:row>
      <xdr:rowOff>95250</xdr:rowOff>
    </xdr:from>
    <xdr:ext cx="1143000" cy="1143000"/>
    <xdr:pic>
      <xdr:nvPicPr>
        <xdr:cNvPr id="532" name="Image_540" descr="Image_540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540</xdr:row>
      <xdr:rowOff>95250</xdr:rowOff>
    </xdr:from>
    <xdr:ext cx="1143000" cy="1143000"/>
    <xdr:pic>
      <xdr:nvPicPr>
        <xdr:cNvPr id="533" name="Image_541" descr="Image_541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541</xdr:row>
      <xdr:rowOff>95250</xdr:rowOff>
    </xdr:from>
    <xdr:ext cx="1143000" cy="1143000"/>
    <xdr:pic>
      <xdr:nvPicPr>
        <xdr:cNvPr id="534" name="Image_542" descr="Image_542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542</xdr:row>
      <xdr:rowOff>95250</xdr:rowOff>
    </xdr:from>
    <xdr:ext cx="1143000" cy="1143000"/>
    <xdr:pic>
      <xdr:nvPicPr>
        <xdr:cNvPr id="535" name="Image_543" descr="Image_543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543</xdr:row>
      <xdr:rowOff>95250</xdr:rowOff>
    </xdr:from>
    <xdr:ext cx="1143000" cy="1143000"/>
    <xdr:pic>
      <xdr:nvPicPr>
        <xdr:cNvPr id="536" name="Image_544" descr="Image_544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544</xdr:row>
      <xdr:rowOff>95250</xdr:rowOff>
    </xdr:from>
    <xdr:ext cx="1143000" cy="1143000"/>
    <xdr:pic>
      <xdr:nvPicPr>
        <xdr:cNvPr id="537" name="Image_545" descr="Image_545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545</xdr:row>
      <xdr:rowOff>95250</xdr:rowOff>
    </xdr:from>
    <xdr:ext cx="1143000" cy="1143000"/>
    <xdr:pic>
      <xdr:nvPicPr>
        <xdr:cNvPr id="538" name="Image_546" descr="Image_546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546</xdr:row>
      <xdr:rowOff>95250</xdr:rowOff>
    </xdr:from>
    <xdr:ext cx="1143000" cy="1143000"/>
    <xdr:pic>
      <xdr:nvPicPr>
        <xdr:cNvPr id="539" name="Image_547" descr="Image_547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547</xdr:row>
      <xdr:rowOff>95250</xdr:rowOff>
    </xdr:from>
    <xdr:ext cx="1143000" cy="1143000"/>
    <xdr:pic>
      <xdr:nvPicPr>
        <xdr:cNvPr id="540" name="Image_548" descr="Image_548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548</xdr:row>
      <xdr:rowOff>95250</xdr:rowOff>
    </xdr:from>
    <xdr:ext cx="1143000" cy="1143000"/>
    <xdr:pic>
      <xdr:nvPicPr>
        <xdr:cNvPr id="541" name="Image_549" descr="Image_549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549</xdr:row>
      <xdr:rowOff>95250</xdr:rowOff>
    </xdr:from>
    <xdr:ext cx="1143000" cy="1143000"/>
    <xdr:pic>
      <xdr:nvPicPr>
        <xdr:cNvPr id="542" name="Image_550" descr="Image_550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550</xdr:row>
      <xdr:rowOff>95250</xdr:rowOff>
    </xdr:from>
    <xdr:ext cx="1143000" cy="1143000"/>
    <xdr:pic>
      <xdr:nvPicPr>
        <xdr:cNvPr id="543" name="Image_551" descr="Image_551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551</xdr:row>
      <xdr:rowOff>95250</xdr:rowOff>
    </xdr:from>
    <xdr:ext cx="1143000" cy="1143000"/>
    <xdr:pic>
      <xdr:nvPicPr>
        <xdr:cNvPr id="544" name="Image_552" descr="Image_552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552</xdr:row>
      <xdr:rowOff>95250</xdr:rowOff>
    </xdr:from>
    <xdr:ext cx="1143000" cy="1143000"/>
    <xdr:pic>
      <xdr:nvPicPr>
        <xdr:cNvPr id="545" name="Image_553" descr="Image_553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553</xdr:row>
      <xdr:rowOff>95250</xdr:rowOff>
    </xdr:from>
    <xdr:ext cx="1143000" cy="1143000"/>
    <xdr:pic>
      <xdr:nvPicPr>
        <xdr:cNvPr id="546" name="Image_554" descr="Image_554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554</xdr:row>
      <xdr:rowOff>95250</xdr:rowOff>
    </xdr:from>
    <xdr:ext cx="1143000" cy="1143000"/>
    <xdr:pic>
      <xdr:nvPicPr>
        <xdr:cNvPr id="547" name="Image_555" descr="Image_555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555</xdr:row>
      <xdr:rowOff>95250</xdr:rowOff>
    </xdr:from>
    <xdr:ext cx="1143000" cy="1143000"/>
    <xdr:pic>
      <xdr:nvPicPr>
        <xdr:cNvPr id="548" name="Image_556" descr="Image_556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556</xdr:row>
      <xdr:rowOff>95250</xdr:rowOff>
    </xdr:from>
    <xdr:ext cx="1143000" cy="1143000"/>
    <xdr:pic>
      <xdr:nvPicPr>
        <xdr:cNvPr id="549" name="Image_557" descr="Image_557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557</xdr:row>
      <xdr:rowOff>95250</xdr:rowOff>
    </xdr:from>
    <xdr:ext cx="1143000" cy="1143000"/>
    <xdr:pic>
      <xdr:nvPicPr>
        <xdr:cNvPr id="550" name="Image_558" descr="Image_558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558</xdr:row>
      <xdr:rowOff>95250</xdr:rowOff>
    </xdr:from>
    <xdr:ext cx="1143000" cy="1143000"/>
    <xdr:pic>
      <xdr:nvPicPr>
        <xdr:cNvPr id="551" name="Image_559" descr="Image_559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559</xdr:row>
      <xdr:rowOff>95250</xdr:rowOff>
    </xdr:from>
    <xdr:ext cx="1143000" cy="1143000"/>
    <xdr:pic>
      <xdr:nvPicPr>
        <xdr:cNvPr id="552" name="Image_560" descr="Image_560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560</xdr:row>
      <xdr:rowOff>95250</xdr:rowOff>
    </xdr:from>
    <xdr:ext cx="1143000" cy="1143000"/>
    <xdr:pic>
      <xdr:nvPicPr>
        <xdr:cNvPr id="553" name="Image_561" descr="Image_561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561</xdr:row>
      <xdr:rowOff>95250</xdr:rowOff>
    </xdr:from>
    <xdr:ext cx="1143000" cy="1143000"/>
    <xdr:pic>
      <xdr:nvPicPr>
        <xdr:cNvPr id="554" name="Image_562" descr="Image_562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562</xdr:row>
      <xdr:rowOff>95250</xdr:rowOff>
    </xdr:from>
    <xdr:ext cx="1143000" cy="1143000"/>
    <xdr:pic>
      <xdr:nvPicPr>
        <xdr:cNvPr id="555" name="Image_563" descr="Image_563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563</xdr:row>
      <xdr:rowOff>95250</xdr:rowOff>
    </xdr:from>
    <xdr:ext cx="1143000" cy="1143000"/>
    <xdr:pic>
      <xdr:nvPicPr>
        <xdr:cNvPr id="556" name="Image_564" descr="Image_564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564</xdr:row>
      <xdr:rowOff>95250</xdr:rowOff>
    </xdr:from>
    <xdr:ext cx="1143000" cy="1143000"/>
    <xdr:pic>
      <xdr:nvPicPr>
        <xdr:cNvPr id="557" name="Image_565" descr="Image_565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565</xdr:row>
      <xdr:rowOff>95250</xdr:rowOff>
    </xdr:from>
    <xdr:ext cx="1143000" cy="1143000"/>
    <xdr:pic>
      <xdr:nvPicPr>
        <xdr:cNvPr id="558" name="Image_566" descr="Image_566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566</xdr:row>
      <xdr:rowOff>95250</xdr:rowOff>
    </xdr:from>
    <xdr:ext cx="1143000" cy="1143000"/>
    <xdr:pic>
      <xdr:nvPicPr>
        <xdr:cNvPr id="559" name="Image_567" descr="Image_567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567</xdr:row>
      <xdr:rowOff>95250</xdr:rowOff>
    </xdr:from>
    <xdr:ext cx="1143000" cy="1143000"/>
    <xdr:pic>
      <xdr:nvPicPr>
        <xdr:cNvPr id="560" name="Image_568" descr="Image_568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568</xdr:row>
      <xdr:rowOff>95250</xdr:rowOff>
    </xdr:from>
    <xdr:ext cx="1143000" cy="1143000"/>
    <xdr:pic>
      <xdr:nvPicPr>
        <xdr:cNvPr id="561" name="Image_569" descr="Image_569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569</xdr:row>
      <xdr:rowOff>95250</xdr:rowOff>
    </xdr:from>
    <xdr:ext cx="1143000" cy="1143000"/>
    <xdr:pic>
      <xdr:nvPicPr>
        <xdr:cNvPr id="562" name="Image_570" descr="Image_570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570</xdr:row>
      <xdr:rowOff>95250</xdr:rowOff>
    </xdr:from>
    <xdr:ext cx="1143000" cy="1143000"/>
    <xdr:pic>
      <xdr:nvPicPr>
        <xdr:cNvPr id="563" name="Image_571" descr="Image_571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571</xdr:row>
      <xdr:rowOff>95250</xdr:rowOff>
    </xdr:from>
    <xdr:ext cx="1143000" cy="1143000"/>
    <xdr:pic>
      <xdr:nvPicPr>
        <xdr:cNvPr id="564" name="Image_572" descr="Image_572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572</xdr:row>
      <xdr:rowOff>95250</xdr:rowOff>
    </xdr:from>
    <xdr:ext cx="1143000" cy="1143000"/>
    <xdr:pic>
      <xdr:nvPicPr>
        <xdr:cNvPr id="565" name="Image_573" descr="Image_573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573</xdr:row>
      <xdr:rowOff>95250</xdr:rowOff>
    </xdr:from>
    <xdr:ext cx="1143000" cy="1143000"/>
    <xdr:pic>
      <xdr:nvPicPr>
        <xdr:cNvPr id="566" name="Image_574" descr="Image_574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574</xdr:row>
      <xdr:rowOff>95250</xdr:rowOff>
    </xdr:from>
    <xdr:ext cx="1143000" cy="1143000"/>
    <xdr:pic>
      <xdr:nvPicPr>
        <xdr:cNvPr id="567" name="Image_575" descr="Image_575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575</xdr:row>
      <xdr:rowOff>95250</xdr:rowOff>
    </xdr:from>
    <xdr:ext cx="1143000" cy="1143000"/>
    <xdr:pic>
      <xdr:nvPicPr>
        <xdr:cNvPr id="568" name="Image_576" descr="Image_576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576</xdr:row>
      <xdr:rowOff>95250</xdr:rowOff>
    </xdr:from>
    <xdr:ext cx="1143000" cy="1143000"/>
    <xdr:pic>
      <xdr:nvPicPr>
        <xdr:cNvPr id="569" name="Image_577" descr="Image_577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577</xdr:row>
      <xdr:rowOff>95250</xdr:rowOff>
    </xdr:from>
    <xdr:ext cx="1143000" cy="1143000"/>
    <xdr:pic>
      <xdr:nvPicPr>
        <xdr:cNvPr id="570" name="Image_578" descr="Image_578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578</xdr:row>
      <xdr:rowOff>95250</xdr:rowOff>
    </xdr:from>
    <xdr:ext cx="1143000" cy="1143000"/>
    <xdr:pic>
      <xdr:nvPicPr>
        <xdr:cNvPr id="571" name="Image_579" descr="Image_579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579</xdr:row>
      <xdr:rowOff>95250</xdr:rowOff>
    </xdr:from>
    <xdr:ext cx="1143000" cy="1143000"/>
    <xdr:pic>
      <xdr:nvPicPr>
        <xdr:cNvPr id="572" name="Image_580" descr="Image_580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580</xdr:row>
      <xdr:rowOff>95250</xdr:rowOff>
    </xdr:from>
    <xdr:ext cx="1143000" cy="1143000"/>
    <xdr:pic>
      <xdr:nvPicPr>
        <xdr:cNvPr id="573" name="Image_581" descr="Image_581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581</xdr:row>
      <xdr:rowOff>95250</xdr:rowOff>
    </xdr:from>
    <xdr:ext cx="1143000" cy="1143000"/>
    <xdr:pic>
      <xdr:nvPicPr>
        <xdr:cNvPr id="574" name="Image_582" descr="Image_582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582</xdr:row>
      <xdr:rowOff>95250</xdr:rowOff>
    </xdr:from>
    <xdr:ext cx="1143000" cy="1143000"/>
    <xdr:pic>
      <xdr:nvPicPr>
        <xdr:cNvPr id="575" name="Image_583" descr="Image_583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583</xdr:row>
      <xdr:rowOff>95250</xdr:rowOff>
    </xdr:from>
    <xdr:ext cx="1143000" cy="1143000"/>
    <xdr:pic>
      <xdr:nvPicPr>
        <xdr:cNvPr id="576" name="Image_584" descr="Image_584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584</xdr:row>
      <xdr:rowOff>95250</xdr:rowOff>
    </xdr:from>
    <xdr:ext cx="1143000" cy="1143000"/>
    <xdr:pic>
      <xdr:nvPicPr>
        <xdr:cNvPr id="577" name="Image_585" descr="Image_585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585</xdr:row>
      <xdr:rowOff>95250</xdr:rowOff>
    </xdr:from>
    <xdr:ext cx="1143000" cy="1143000"/>
    <xdr:pic>
      <xdr:nvPicPr>
        <xdr:cNvPr id="578" name="Image_586" descr="Image_586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586</xdr:row>
      <xdr:rowOff>95250</xdr:rowOff>
    </xdr:from>
    <xdr:ext cx="1143000" cy="1143000"/>
    <xdr:pic>
      <xdr:nvPicPr>
        <xdr:cNvPr id="579" name="Image_587" descr="Image_587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587</xdr:row>
      <xdr:rowOff>95250</xdr:rowOff>
    </xdr:from>
    <xdr:ext cx="1143000" cy="1143000"/>
    <xdr:pic>
      <xdr:nvPicPr>
        <xdr:cNvPr id="580" name="Image_588" descr="Image_588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588</xdr:row>
      <xdr:rowOff>95250</xdr:rowOff>
    </xdr:from>
    <xdr:ext cx="1143000" cy="1143000"/>
    <xdr:pic>
      <xdr:nvPicPr>
        <xdr:cNvPr id="581" name="Image_589" descr="Image_589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589</xdr:row>
      <xdr:rowOff>95250</xdr:rowOff>
    </xdr:from>
    <xdr:ext cx="1143000" cy="1143000"/>
    <xdr:pic>
      <xdr:nvPicPr>
        <xdr:cNvPr id="582" name="Image_590" descr="Image_590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590</xdr:row>
      <xdr:rowOff>95250</xdr:rowOff>
    </xdr:from>
    <xdr:ext cx="1143000" cy="1143000"/>
    <xdr:pic>
      <xdr:nvPicPr>
        <xdr:cNvPr id="583" name="Image_591" descr="Image_591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591</xdr:row>
      <xdr:rowOff>95250</xdr:rowOff>
    </xdr:from>
    <xdr:ext cx="1143000" cy="1143000"/>
    <xdr:pic>
      <xdr:nvPicPr>
        <xdr:cNvPr id="584" name="Image_592" descr="Image_592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592</xdr:row>
      <xdr:rowOff>95250</xdr:rowOff>
    </xdr:from>
    <xdr:ext cx="1143000" cy="1143000"/>
    <xdr:pic>
      <xdr:nvPicPr>
        <xdr:cNvPr id="585" name="Image_593" descr="Image_593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593</xdr:row>
      <xdr:rowOff>95250</xdr:rowOff>
    </xdr:from>
    <xdr:ext cx="1143000" cy="1143000"/>
    <xdr:pic>
      <xdr:nvPicPr>
        <xdr:cNvPr id="586" name="Image_594" descr="Image_594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594</xdr:row>
      <xdr:rowOff>95250</xdr:rowOff>
    </xdr:from>
    <xdr:ext cx="1143000" cy="1143000"/>
    <xdr:pic>
      <xdr:nvPicPr>
        <xdr:cNvPr id="587" name="Image_595" descr="Image_595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595</xdr:row>
      <xdr:rowOff>95250</xdr:rowOff>
    </xdr:from>
    <xdr:ext cx="1143000" cy="1143000"/>
    <xdr:pic>
      <xdr:nvPicPr>
        <xdr:cNvPr id="588" name="Image_596" descr="Image_596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596</xdr:row>
      <xdr:rowOff>95250</xdr:rowOff>
    </xdr:from>
    <xdr:ext cx="1143000" cy="1143000"/>
    <xdr:pic>
      <xdr:nvPicPr>
        <xdr:cNvPr id="589" name="Image_597" descr="Image_597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597</xdr:row>
      <xdr:rowOff>95250</xdr:rowOff>
    </xdr:from>
    <xdr:ext cx="1143000" cy="1143000"/>
    <xdr:pic>
      <xdr:nvPicPr>
        <xdr:cNvPr id="590" name="Image_598" descr="Image_598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598</xdr:row>
      <xdr:rowOff>95250</xdr:rowOff>
    </xdr:from>
    <xdr:ext cx="1143000" cy="1143000"/>
    <xdr:pic>
      <xdr:nvPicPr>
        <xdr:cNvPr id="591" name="Image_599" descr="Image_599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599</xdr:row>
      <xdr:rowOff>95250</xdr:rowOff>
    </xdr:from>
    <xdr:ext cx="1143000" cy="1143000"/>
    <xdr:pic>
      <xdr:nvPicPr>
        <xdr:cNvPr id="592" name="Image_600" descr="Image_600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600</xdr:row>
      <xdr:rowOff>95250</xdr:rowOff>
    </xdr:from>
    <xdr:ext cx="1143000" cy="1143000"/>
    <xdr:pic>
      <xdr:nvPicPr>
        <xdr:cNvPr id="593" name="Image_601" descr="Image_601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601</xdr:row>
      <xdr:rowOff>95250</xdr:rowOff>
    </xdr:from>
    <xdr:ext cx="1143000" cy="1143000"/>
    <xdr:pic>
      <xdr:nvPicPr>
        <xdr:cNvPr id="594" name="Image_602" descr="Image_602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602</xdr:row>
      <xdr:rowOff>95250</xdr:rowOff>
    </xdr:from>
    <xdr:ext cx="1143000" cy="1143000"/>
    <xdr:pic>
      <xdr:nvPicPr>
        <xdr:cNvPr id="595" name="Image_603" descr="Image_603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603</xdr:row>
      <xdr:rowOff>95250</xdr:rowOff>
    </xdr:from>
    <xdr:ext cx="1143000" cy="1143000"/>
    <xdr:pic>
      <xdr:nvPicPr>
        <xdr:cNvPr id="596" name="Image_604" descr="Image_604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605</xdr:row>
      <xdr:rowOff>95250</xdr:rowOff>
    </xdr:from>
    <xdr:ext cx="1143000" cy="1143000"/>
    <xdr:pic>
      <xdr:nvPicPr>
        <xdr:cNvPr id="597" name="Image_606" descr="Image_606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606</xdr:row>
      <xdr:rowOff>95250</xdr:rowOff>
    </xdr:from>
    <xdr:ext cx="1143000" cy="1143000"/>
    <xdr:pic>
      <xdr:nvPicPr>
        <xdr:cNvPr id="598" name="Image_607" descr="Image_607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607</xdr:row>
      <xdr:rowOff>95250</xdr:rowOff>
    </xdr:from>
    <xdr:ext cx="1143000" cy="1143000"/>
    <xdr:pic>
      <xdr:nvPicPr>
        <xdr:cNvPr id="599" name="Image_608" descr="Image_608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608</xdr:row>
      <xdr:rowOff>95250</xdr:rowOff>
    </xdr:from>
    <xdr:ext cx="1143000" cy="1143000"/>
    <xdr:pic>
      <xdr:nvPicPr>
        <xdr:cNvPr id="600" name="Image_609" descr="Image_609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609</xdr:row>
      <xdr:rowOff>95250</xdr:rowOff>
    </xdr:from>
    <xdr:ext cx="1143000" cy="1143000"/>
    <xdr:pic>
      <xdr:nvPicPr>
        <xdr:cNvPr id="601" name="Image_610" descr="Image_610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610</xdr:row>
      <xdr:rowOff>95250</xdr:rowOff>
    </xdr:from>
    <xdr:ext cx="1143000" cy="1143000"/>
    <xdr:pic>
      <xdr:nvPicPr>
        <xdr:cNvPr id="602" name="Image_611" descr="Image_611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611</xdr:row>
      <xdr:rowOff>95250</xdr:rowOff>
    </xdr:from>
    <xdr:ext cx="1143000" cy="1143000"/>
    <xdr:pic>
      <xdr:nvPicPr>
        <xdr:cNvPr id="603" name="Image_612" descr="Image_612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612</xdr:row>
      <xdr:rowOff>95250</xdr:rowOff>
    </xdr:from>
    <xdr:ext cx="1143000" cy="1143000"/>
    <xdr:pic>
      <xdr:nvPicPr>
        <xdr:cNvPr id="604" name="Image_613" descr="Image_613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613</xdr:row>
      <xdr:rowOff>95250</xdr:rowOff>
    </xdr:from>
    <xdr:ext cx="1143000" cy="1143000"/>
    <xdr:pic>
      <xdr:nvPicPr>
        <xdr:cNvPr id="605" name="Image_614" descr="Image_614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614</xdr:row>
      <xdr:rowOff>95250</xdr:rowOff>
    </xdr:from>
    <xdr:ext cx="1143000" cy="1143000"/>
    <xdr:pic>
      <xdr:nvPicPr>
        <xdr:cNvPr id="606" name="Image_615" descr="Image_615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615</xdr:row>
      <xdr:rowOff>95250</xdr:rowOff>
    </xdr:from>
    <xdr:ext cx="1143000" cy="1143000"/>
    <xdr:pic>
      <xdr:nvPicPr>
        <xdr:cNvPr id="607" name="Image_616" descr="Image_616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616</xdr:row>
      <xdr:rowOff>95250</xdr:rowOff>
    </xdr:from>
    <xdr:ext cx="1143000" cy="1143000"/>
    <xdr:pic>
      <xdr:nvPicPr>
        <xdr:cNvPr id="608" name="Image_617" descr="Image_617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617</xdr:row>
      <xdr:rowOff>95250</xdr:rowOff>
    </xdr:from>
    <xdr:ext cx="1143000" cy="1143000"/>
    <xdr:pic>
      <xdr:nvPicPr>
        <xdr:cNvPr id="609" name="Image_618" descr="Image_618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618</xdr:row>
      <xdr:rowOff>95250</xdr:rowOff>
    </xdr:from>
    <xdr:ext cx="1143000" cy="1143000"/>
    <xdr:pic>
      <xdr:nvPicPr>
        <xdr:cNvPr id="610" name="Image_619" descr="Image_619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619</xdr:row>
      <xdr:rowOff>95250</xdr:rowOff>
    </xdr:from>
    <xdr:ext cx="1143000" cy="1143000"/>
    <xdr:pic>
      <xdr:nvPicPr>
        <xdr:cNvPr id="611" name="Image_620" descr="Image_620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620</xdr:row>
      <xdr:rowOff>95250</xdr:rowOff>
    </xdr:from>
    <xdr:ext cx="1143000" cy="1143000"/>
    <xdr:pic>
      <xdr:nvPicPr>
        <xdr:cNvPr id="612" name="Image_621" descr="Image_621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621</xdr:row>
      <xdr:rowOff>95250</xdr:rowOff>
    </xdr:from>
    <xdr:ext cx="1143000" cy="1143000"/>
    <xdr:pic>
      <xdr:nvPicPr>
        <xdr:cNvPr id="613" name="Image_622" descr="Image_622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622</xdr:row>
      <xdr:rowOff>95250</xdr:rowOff>
    </xdr:from>
    <xdr:ext cx="1143000" cy="1143000"/>
    <xdr:pic>
      <xdr:nvPicPr>
        <xdr:cNvPr id="614" name="Image_623" descr="Image_623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623</xdr:row>
      <xdr:rowOff>95250</xdr:rowOff>
    </xdr:from>
    <xdr:ext cx="1143000" cy="1143000"/>
    <xdr:pic>
      <xdr:nvPicPr>
        <xdr:cNvPr id="615" name="Image_624" descr="Image_624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624</xdr:row>
      <xdr:rowOff>95250</xdr:rowOff>
    </xdr:from>
    <xdr:ext cx="1143000" cy="1143000"/>
    <xdr:pic>
      <xdr:nvPicPr>
        <xdr:cNvPr id="616" name="Image_625" descr="Image_625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625</xdr:row>
      <xdr:rowOff>95250</xdr:rowOff>
    </xdr:from>
    <xdr:ext cx="1143000" cy="1143000"/>
    <xdr:pic>
      <xdr:nvPicPr>
        <xdr:cNvPr id="617" name="Image_626" descr="Image_626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626</xdr:row>
      <xdr:rowOff>95250</xdr:rowOff>
    </xdr:from>
    <xdr:ext cx="1143000" cy="1143000"/>
    <xdr:pic>
      <xdr:nvPicPr>
        <xdr:cNvPr id="618" name="Image_627" descr="Image_627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627</xdr:row>
      <xdr:rowOff>95250</xdr:rowOff>
    </xdr:from>
    <xdr:ext cx="1143000" cy="1143000"/>
    <xdr:pic>
      <xdr:nvPicPr>
        <xdr:cNvPr id="619" name="Image_628" descr="Image_628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628</xdr:row>
      <xdr:rowOff>95250</xdr:rowOff>
    </xdr:from>
    <xdr:ext cx="1143000" cy="1143000"/>
    <xdr:pic>
      <xdr:nvPicPr>
        <xdr:cNvPr id="620" name="Image_629" descr="Image_629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629</xdr:row>
      <xdr:rowOff>95250</xdr:rowOff>
    </xdr:from>
    <xdr:ext cx="1143000" cy="1143000"/>
    <xdr:pic>
      <xdr:nvPicPr>
        <xdr:cNvPr id="621" name="Image_630" descr="Image_630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630</xdr:row>
      <xdr:rowOff>95250</xdr:rowOff>
    </xdr:from>
    <xdr:ext cx="1143000" cy="1143000"/>
    <xdr:pic>
      <xdr:nvPicPr>
        <xdr:cNvPr id="622" name="Image_631" descr="Image_631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631</xdr:row>
      <xdr:rowOff>95250</xdr:rowOff>
    </xdr:from>
    <xdr:ext cx="1143000" cy="1143000"/>
    <xdr:pic>
      <xdr:nvPicPr>
        <xdr:cNvPr id="623" name="Image_632" descr="Image_632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632</xdr:row>
      <xdr:rowOff>95250</xdr:rowOff>
    </xdr:from>
    <xdr:ext cx="1143000" cy="1143000"/>
    <xdr:pic>
      <xdr:nvPicPr>
        <xdr:cNvPr id="624" name="Image_633" descr="Image_633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633</xdr:row>
      <xdr:rowOff>95250</xdr:rowOff>
    </xdr:from>
    <xdr:ext cx="1143000" cy="1143000"/>
    <xdr:pic>
      <xdr:nvPicPr>
        <xdr:cNvPr id="625" name="Image_634" descr="Image_634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634</xdr:row>
      <xdr:rowOff>95250</xdr:rowOff>
    </xdr:from>
    <xdr:ext cx="1143000" cy="1143000"/>
    <xdr:pic>
      <xdr:nvPicPr>
        <xdr:cNvPr id="626" name="Image_635" descr="Image_635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635</xdr:row>
      <xdr:rowOff>95250</xdr:rowOff>
    </xdr:from>
    <xdr:ext cx="1143000" cy="1143000"/>
    <xdr:pic>
      <xdr:nvPicPr>
        <xdr:cNvPr id="627" name="Image_636" descr="Image_636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636</xdr:row>
      <xdr:rowOff>95250</xdr:rowOff>
    </xdr:from>
    <xdr:ext cx="1143000" cy="1143000"/>
    <xdr:pic>
      <xdr:nvPicPr>
        <xdr:cNvPr id="628" name="Image_637" descr="Image_637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637</xdr:row>
      <xdr:rowOff>95250</xdr:rowOff>
    </xdr:from>
    <xdr:ext cx="1143000" cy="1143000"/>
    <xdr:pic>
      <xdr:nvPicPr>
        <xdr:cNvPr id="629" name="Image_638" descr="Image_638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638</xdr:row>
      <xdr:rowOff>95250</xdr:rowOff>
    </xdr:from>
    <xdr:ext cx="1143000" cy="1143000"/>
    <xdr:pic>
      <xdr:nvPicPr>
        <xdr:cNvPr id="630" name="Image_639" descr="Image_639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639</xdr:row>
      <xdr:rowOff>95250</xdr:rowOff>
    </xdr:from>
    <xdr:ext cx="1143000" cy="1143000"/>
    <xdr:pic>
      <xdr:nvPicPr>
        <xdr:cNvPr id="631" name="Image_640" descr="Image_640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640</xdr:row>
      <xdr:rowOff>95250</xdr:rowOff>
    </xdr:from>
    <xdr:ext cx="1143000" cy="1143000"/>
    <xdr:pic>
      <xdr:nvPicPr>
        <xdr:cNvPr id="632" name="Image_641" descr="Image_641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641</xdr:row>
      <xdr:rowOff>95250</xdr:rowOff>
    </xdr:from>
    <xdr:ext cx="1143000" cy="1143000"/>
    <xdr:pic>
      <xdr:nvPicPr>
        <xdr:cNvPr id="633" name="Image_642" descr="Image_642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642</xdr:row>
      <xdr:rowOff>95250</xdr:rowOff>
    </xdr:from>
    <xdr:ext cx="1143000" cy="1143000"/>
    <xdr:pic>
      <xdr:nvPicPr>
        <xdr:cNvPr id="634" name="Image_643" descr="Image_643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643</xdr:row>
      <xdr:rowOff>95250</xdr:rowOff>
    </xdr:from>
    <xdr:ext cx="1143000" cy="1143000"/>
    <xdr:pic>
      <xdr:nvPicPr>
        <xdr:cNvPr id="635" name="Image_644" descr="Image_644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644</xdr:row>
      <xdr:rowOff>95250</xdr:rowOff>
    </xdr:from>
    <xdr:ext cx="1143000" cy="1143000"/>
    <xdr:pic>
      <xdr:nvPicPr>
        <xdr:cNvPr id="636" name="Image_645" descr="Image_645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645</xdr:row>
      <xdr:rowOff>95250</xdr:rowOff>
    </xdr:from>
    <xdr:ext cx="1143000" cy="1143000"/>
    <xdr:pic>
      <xdr:nvPicPr>
        <xdr:cNvPr id="637" name="Image_646" descr="Image_646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646</xdr:row>
      <xdr:rowOff>95250</xdr:rowOff>
    </xdr:from>
    <xdr:ext cx="1143000" cy="1143000"/>
    <xdr:pic>
      <xdr:nvPicPr>
        <xdr:cNvPr id="638" name="Image_647" descr="Image_647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647</xdr:row>
      <xdr:rowOff>95250</xdr:rowOff>
    </xdr:from>
    <xdr:ext cx="1143000" cy="1143000"/>
    <xdr:pic>
      <xdr:nvPicPr>
        <xdr:cNvPr id="639" name="Image_648" descr="Image_648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648</xdr:row>
      <xdr:rowOff>95250</xdr:rowOff>
    </xdr:from>
    <xdr:ext cx="1143000" cy="1143000"/>
    <xdr:pic>
      <xdr:nvPicPr>
        <xdr:cNvPr id="640" name="Image_649" descr="Image_649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649</xdr:row>
      <xdr:rowOff>95250</xdr:rowOff>
    </xdr:from>
    <xdr:ext cx="1143000" cy="1143000"/>
    <xdr:pic>
      <xdr:nvPicPr>
        <xdr:cNvPr id="641" name="Image_650" descr="Image_650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650</xdr:row>
      <xdr:rowOff>95250</xdr:rowOff>
    </xdr:from>
    <xdr:ext cx="1143000" cy="1143000"/>
    <xdr:pic>
      <xdr:nvPicPr>
        <xdr:cNvPr id="642" name="Image_651" descr="Image_651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651</xdr:row>
      <xdr:rowOff>95250</xdr:rowOff>
    </xdr:from>
    <xdr:ext cx="1143000" cy="1143000"/>
    <xdr:pic>
      <xdr:nvPicPr>
        <xdr:cNvPr id="643" name="Image_652" descr="Image_652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652</xdr:row>
      <xdr:rowOff>95250</xdr:rowOff>
    </xdr:from>
    <xdr:ext cx="1143000" cy="1143000"/>
    <xdr:pic>
      <xdr:nvPicPr>
        <xdr:cNvPr id="644" name="Image_653" descr="Image_653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653</xdr:row>
      <xdr:rowOff>95250</xdr:rowOff>
    </xdr:from>
    <xdr:ext cx="1143000" cy="1143000"/>
    <xdr:pic>
      <xdr:nvPicPr>
        <xdr:cNvPr id="645" name="Image_654" descr="Image_654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654</xdr:row>
      <xdr:rowOff>95250</xdr:rowOff>
    </xdr:from>
    <xdr:ext cx="1143000" cy="1143000"/>
    <xdr:pic>
      <xdr:nvPicPr>
        <xdr:cNvPr id="646" name="Image_655" descr="Image_655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655</xdr:row>
      <xdr:rowOff>95250</xdr:rowOff>
    </xdr:from>
    <xdr:ext cx="1143000" cy="1143000"/>
    <xdr:pic>
      <xdr:nvPicPr>
        <xdr:cNvPr id="647" name="Image_656" descr="Image_656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656</xdr:row>
      <xdr:rowOff>95250</xdr:rowOff>
    </xdr:from>
    <xdr:ext cx="1143000" cy="1143000"/>
    <xdr:pic>
      <xdr:nvPicPr>
        <xdr:cNvPr id="648" name="Image_657" descr="Image_657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657</xdr:row>
      <xdr:rowOff>95250</xdr:rowOff>
    </xdr:from>
    <xdr:ext cx="1143000" cy="1143000"/>
    <xdr:pic>
      <xdr:nvPicPr>
        <xdr:cNvPr id="649" name="Image_658" descr="Image_658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658</xdr:row>
      <xdr:rowOff>95250</xdr:rowOff>
    </xdr:from>
    <xdr:ext cx="1143000" cy="1143000"/>
    <xdr:pic>
      <xdr:nvPicPr>
        <xdr:cNvPr id="650" name="Image_659" descr="Image_659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659</xdr:row>
      <xdr:rowOff>95250</xdr:rowOff>
    </xdr:from>
    <xdr:ext cx="1143000" cy="1143000"/>
    <xdr:pic>
      <xdr:nvPicPr>
        <xdr:cNvPr id="651" name="Image_660" descr="Image_660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660</xdr:row>
      <xdr:rowOff>95250</xdr:rowOff>
    </xdr:from>
    <xdr:ext cx="1143000" cy="1143000"/>
    <xdr:pic>
      <xdr:nvPicPr>
        <xdr:cNvPr id="652" name="Image_661" descr="Image_661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661</xdr:row>
      <xdr:rowOff>95250</xdr:rowOff>
    </xdr:from>
    <xdr:ext cx="1143000" cy="1143000"/>
    <xdr:pic>
      <xdr:nvPicPr>
        <xdr:cNvPr id="653" name="Image_662" descr="Image_662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662</xdr:row>
      <xdr:rowOff>95250</xdr:rowOff>
    </xdr:from>
    <xdr:ext cx="1143000" cy="1143000"/>
    <xdr:pic>
      <xdr:nvPicPr>
        <xdr:cNvPr id="654" name="Image_663" descr="Image_663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663</xdr:row>
      <xdr:rowOff>95250</xdr:rowOff>
    </xdr:from>
    <xdr:ext cx="1143000" cy="1143000"/>
    <xdr:pic>
      <xdr:nvPicPr>
        <xdr:cNvPr id="655" name="Image_664" descr="Image_664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664</xdr:row>
      <xdr:rowOff>95250</xdr:rowOff>
    </xdr:from>
    <xdr:ext cx="1143000" cy="1143000"/>
    <xdr:pic>
      <xdr:nvPicPr>
        <xdr:cNvPr id="656" name="Image_665" descr="Image_665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665</xdr:row>
      <xdr:rowOff>95250</xdr:rowOff>
    </xdr:from>
    <xdr:ext cx="1143000" cy="1143000"/>
    <xdr:pic>
      <xdr:nvPicPr>
        <xdr:cNvPr id="657" name="Image_666" descr="Image_666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666</xdr:row>
      <xdr:rowOff>95250</xdr:rowOff>
    </xdr:from>
    <xdr:ext cx="1143000" cy="1143000"/>
    <xdr:pic>
      <xdr:nvPicPr>
        <xdr:cNvPr id="658" name="Image_667" descr="Image_667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667</xdr:row>
      <xdr:rowOff>95250</xdr:rowOff>
    </xdr:from>
    <xdr:ext cx="1143000" cy="1143000"/>
    <xdr:pic>
      <xdr:nvPicPr>
        <xdr:cNvPr id="659" name="Image_668" descr="Image_668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668</xdr:row>
      <xdr:rowOff>95250</xdr:rowOff>
    </xdr:from>
    <xdr:ext cx="1143000" cy="1143000"/>
    <xdr:pic>
      <xdr:nvPicPr>
        <xdr:cNvPr id="660" name="Image_669" descr="Image_669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669</xdr:row>
      <xdr:rowOff>95250</xdr:rowOff>
    </xdr:from>
    <xdr:ext cx="1143000" cy="1143000"/>
    <xdr:pic>
      <xdr:nvPicPr>
        <xdr:cNvPr id="661" name="Image_670" descr="Image_670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670</xdr:row>
      <xdr:rowOff>95250</xdr:rowOff>
    </xdr:from>
    <xdr:ext cx="1143000" cy="1143000"/>
    <xdr:pic>
      <xdr:nvPicPr>
        <xdr:cNvPr id="662" name="Image_671" descr="Image_671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671</xdr:row>
      <xdr:rowOff>95250</xdr:rowOff>
    </xdr:from>
    <xdr:ext cx="1143000" cy="1143000"/>
    <xdr:pic>
      <xdr:nvPicPr>
        <xdr:cNvPr id="663" name="Image_672" descr="Image_672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672</xdr:row>
      <xdr:rowOff>95250</xdr:rowOff>
    </xdr:from>
    <xdr:ext cx="1143000" cy="1143000"/>
    <xdr:pic>
      <xdr:nvPicPr>
        <xdr:cNvPr id="664" name="Image_673" descr="Image_673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673</xdr:row>
      <xdr:rowOff>95250</xdr:rowOff>
    </xdr:from>
    <xdr:ext cx="1143000" cy="1143000"/>
    <xdr:pic>
      <xdr:nvPicPr>
        <xdr:cNvPr id="665" name="Image_674" descr="Image_674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674</xdr:row>
      <xdr:rowOff>95250</xdr:rowOff>
    </xdr:from>
    <xdr:ext cx="1143000" cy="1143000"/>
    <xdr:pic>
      <xdr:nvPicPr>
        <xdr:cNvPr id="666" name="Image_675" descr="Image_675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675</xdr:row>
      <xdr:rowOff>95250</xdr:rowOff>
    </xdr:from>
    <xdr:ext cx="1143000" cy="1143000"/>
    <xdr:pic>
      <xdr:nvPicPr>
        <xdr:cNvPr id="667" name="Image_676" descr="Image_676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676</xdr:row>
      <xdr:rowOff>95250</xdr:rowOff>
    </xdr:from>
    <xdr:ext cx="1143000" cy="1143000"/>
    <xdr:pic>
      <xdr:nvPicPr>
        <xdr:cNvPr id="668" name="Image_677" descr="Image_677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677</xdr:row>
      <xdr:rowOff>95250</xdr:rowOff>
    </xdr:from>
    <xdr:ext cx="1143000" cy="1143000"/>
    <xdr:pic>
      <xdr:nvPicPr>
        <xdr:cNvPr id="669" name="Image_678" descr="Image_678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678</xdr:row>
      <xdr:rowOff>95250</xdr:rowOff>
    </xdr:from>
    <xdr:ext cx="1143000" cy="1143000"/>
    <xdr:pic>
      <xdr:nvPicPr>
        <xdr:cNvPr id="670" name="Image_679" descr="Image_679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679</xdr:row>
      <xdr:rowOff>95250</xdr:rowOff>
    </xdr:from>
    <xdr:ext cx="1143000" cy="1143000"/>
    <xdr:pic>
      <xdr:nvPicPr>
        <xdr:cNvPr id="671" name="Image_680" descr="Image_680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680</xdr:row>
      <xdr:rowOff>95250</xdr:rowOff>
    </xdr:from>
    <xdr:ext cx="1143000" cy="1143000"/>
    <xdr:pic>
      <xdr:nvPicPr>
        <xdr:cNvPr id="672" name="Image_681" descr="Image_681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681</xdr:row>
      <xdr:rowOff>95250</xdr:rowOff>
    </xdr:from>
    <xdr:ext cx="1143000" cy="1143000"/>
    <xdr:pic>
      <xdr:nvPicPr>
        <xdr:cNvPr id="673" name="Image_682" descr="Image_682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682</xdr:row>
      <xdr:rowOff>95250</xdr:rowOff>
    </xdr:from>
    <xdr:ext cx="1143000" cy="1143000"/>
    <xdr:pic>
      <xdr:nvPicPr>
        <xdr:cNvPr id="674" name="Image_683" descr="Image_683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683</xdr:row>
      <xdr:rowOff>95250</xdr:rowOff>
    </xdr:from>
    <xdr:ext cx="1143000" cy="1143000"/>
    <xdr:pic>
      <xdr:nvPicPr>
        <xdr:cNvPr id="675" name="Image_684" descr="Image_684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684</xdr:row>
      <xdr:rowOff>95250</xdr:rowOff>
    </xdr:from>
    <xdr:ext cx="1143000" cy="1143000"/>
    <xdr:pic>
      <xdr:nvPicPr>
        <xdr:cNvPr id="676" name="Image_685" descr="Image_685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685</xdr:row>
      <xdr:rowOff>95250</xdr:rowOff>
    </xdr:from>
    <xdr:ext cx="1143000" cy="1143000"/>
    <xdr:pic>
      <xdr:nvPicPr>
        <xdr:cNvPr id="677" name="Image_686" descr="Image_686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686</xdr:row>
      <xdr:rowOff>95250</xdr:rowOff>
    </xdr:from>
    <xdr:ext cx="1143000" cy="1143000"/>
    <xdr:pic>
      <xdr:nvPicPr>
        <xdr:cNvPr id="678" name="Image_687" descr="Image_687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687</xdr:row>
      <xdr:rowOff>95250</xdr:rowOff>
    </xdr:from>
    <xdr:ext cx="1143000" cy="1143000"/>
    <xdr:pic>
      <xdr:nvPicPr>
        <xdr:cNvPr id="679" name="Image_688" descr="Image_688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688</xdr:row>
      <xdr:rowOff>95250</xdr:rowOff>
    </xdr:from>
    <xdr:ext cx="1143000" cy="1143000"/>
    <xdr:pic>
      <xdr:nvPicPr>
        <xdr:cNvPr id="680" name="Image_689" descr="Image_689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689</xdr:row>
      <xdr:rowOff>95250</xdr:rowOff>
    </xdr:from>
    <xdr:ext cx="1143000" cy="1143000"/>
    <xdr:pic>
      <xdr:nvPicPr>
        <xdr:cNvPr id="681" name="Image_690" descr="Image_690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690</xdr:row>
      <xdr:rowOff>95250</xdr:rowOff>
    </xdr:from>
    <xdr:ext cx="1143000" cy="1143000"/>
    <xdr:pic>
      <xdr:nvPicPr>
        <xdr:cNvPr id="682" name="Image_691" descr="Image_691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691</xdr:row>
      <xdr:rowOff>95250</xdr:rowOff>
    </xdr:from>
    <xdr:ext cx="1143000" cy="1143000"/>
    <xdr:pic>
      <xdr:nvPicPr>
        <xdr:cNvPr id="683" name="Image_692" descr="Image_692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692</xdr:row>
      <xdr:rowOff>95250</xdr:rowOff>
    </xdr:from>
    <xdr:ext cx="1143000" cy="1143000"/>
    <xdr:pic>
      <xdr:nvPicPr>
        <xdr:cNvPr id="684" name="Image_693" descr="Image_693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693</xdr:row>
      <xdr:rowOff>95250</xdr:rowOff>
    </xdr:from>
    <xdr:ext cx="1143000" cy="1143000"/>
    <xdr:pic>
      <xdr:nvPicPr>
        <xdr:cNvPr id="685" name="Image_694" descr="Image_694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694</xdr:row>
      <xdr:rowOff>95250</xdr:rowOff>
    </xdr:from>
    <xdr:ext cx="1143000" cy="1143000"/>
    <xdr:pic>
      <xdr:nvPicPr>
        <xdr:cNvPr id="686" name="Image_695" descr="Image_695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695</xdr:row>
      <xdr:rowOff>95250</xdr:rowOff>
    </xdr:from>
    <xdr:ext cx="1143000" cy="1143000"/>
    <xdr:pic>
      <xdr:nvPicPr>
        <xdr:cNvPr id="687" name="Image_696" descr="Image_696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696</xdr:row>
      <xdr:rowOff>95250</xdr:rowOff>
    </xdr:from>
    <xdr:ext cx="1143000" cy="1143000"/>
    <xdr:pic>
      <xdr:nvPicPr>
        <xdr:cNvPr id="688" name="Image_697" descr="Image_697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697</xdr:row>
      <xdr:rowOff>95250</xdr:rowOff>
    </xdr:from>
    <xdr:ext cx="1143000" cy="1143000"/>
    <xdr:pic>
      <xdr:nvPicPr>
        <xdr:cNvPr id="689" name="Image_698" descr="Image_698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698</xdr:row>
      <xdr:rowOff>95250</xdr:rowOff>
    </xdr:from>
    <xdr:ext cx="1143000" cy="1143000"/>
    <xdr:pic>
      <xdr:nvPicPr>
        <xdr:cNvPr id="690" name="Image_699" descr="Image_699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699</xdr:row>
      <xdr:rowOff>95250</xdr:rowOff>
    </xdr:from>
    <xdr:ext cx="1143000" cy="1143000"/>
    <xdr:pic>
      <xdr:nvPicPr>
        <xdr:cNvPr id="691" name="Image_700" descr="Image_700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700</xdr:row>
      <xdr:rowOff>95250</xdr:rowOff>
    </xdr:from>
    <xdr:ext cx="1143000" cy="1143000"/>
    <xdr:pic>
      <xdr:nvPicPr>
        <xdr:cNvPr id="692" name="Image_701" descr="Image_701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701</xdr:row>
      <xdr:rowOff>95250</xdr:rowOff>
    </xdr:from>
    <xdr:ext cx="1143000" cy="1143000"/>
    <xdr:pic>
      <xdr:nvPicPr>
        <xdr:cNvPr id="693" name="Image_702" descr="Image_702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702</xdr:row>
      <xdr:rowOff>95250</xdr:rowOff>
    </xdr:from>
    <xdr:ext cx="1143000" cy="1143000"/>
    <xdr:pic>
      <xdr:nvPicPr>
        <xdr:cNvPr id="694" name="Image_703" descr="Image_703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703</xdr:row>
      <xdr:rowOff>95250</xdr:rowOff>
    </xdr:from>
    <xdr:ext cx="1143000" cy="1143000"/>
    <xdr:pic>
      <xdr:nvPicPr>
        <xdr:cNvPr id="695" name="Image_704" descr="Image_704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704</xdr:row>
      <xdr:rowOff>95250</xdr:rowOff>
    </xdr:from>
    <xdr:ext cx="1143000" cy="1143000"/>
    <xdr:pic>
      <xdr:nvPicPr>
        <xdr:cNvPr id="696" name="Image_705" descr="Image_705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705</xdr:row>
      <xdr:rowOff>95250</xdr:rowOff>
    </xdr:from>
    <xdr:ext cx="1143000" cy="1143000"/>
    <xdr:pic>
      <xdr:nvPicPr>
        <xdr:cNvPr id="697" name="Image_706" descr="Image_706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706</xdr:row>
      <xdr:rowOff>95250</xdr:rowOff>
    </xdr:from>
    <xdr:ext cx="1143000" cy="1143000"/>
    <xdr:pic>
      <xdr:nvPicPr>
        <xdr:cNvPr id="698" name="Image_707" descr="Image_707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707</xdr:row>
      <xdr:rowOff>95250</xdr:rowOff>
    </xdr:from>
    <xdr:ext cx="1143000" cy="1143000"/>
    <xdr:pic>
      <xdr:nvPicPr>
        <xdr:cNvPr id="699" name="Image_708" descr="Image_708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708</xdr:row>
      <xdr:rowOff>95250</xdr:rowOff>
    </xdr:from>
    <xdr:ext cx="1143000" cy="1143000"/>
    <xdr:pic>
      <xdr:nvPicPr>
        <xdr:cNvPr id="700" name="Image_709" descr="Image_709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709</xdr:row>
      <xdr:rowOff>95250</xdr:rowOff>
    </xdr:from>
    <xdr:ext cx="1143000" cy="1143000"/>
    <xdr:pic>
      <xdr:nvPicPr>
        <xdr:cNvPr id="701" name="Image_710" descr="Image_710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710</xdr:row>
      <xdr:rowOff>95250</xdr:rowOff>
    </xdr:from>
    <xdr:ext cx="1143000" cy="1143000"/>
    <xdr:pic>
      <xdr:nvPicPr>
        <xdr:cNvPr id="702" name="Image_711" descr="Image_711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711</xdr:row>
      <xdr:rowOff>95250</xdr:rowOff>
    </xdr:from>
    <xdr:ext cx="1143000" cy="1143000"/>
    <xdr:pic>
      <xdr:nvPicPr>
        <xdr:cNvPr id="703" name="Image_712" descr="Image_712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712</xdr:row>
      <xdr:rowOff>95250</xdr:rowOff>
    </xdr:from>
    <xdr:ext cx="1143000" cy="1143000"/>
    <xdr:pic>
      <xdr:nvPicPr>
        <xdr:cNvPr id="704" name="Image_713" descr="Image_713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713</xdr:row>
      <xdr:rowOff>95250</xdr:rowOff>
    </xdr:from>
    <xdr:ext cx="1143000" cy="1143000"/>
    <xdr:pic>
      <xdr:nvPicPr>
        <xdr:cNvPr id="705" name="Image_714" descr="Image_714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714</xdr:row>
      <xdr:rowOff>95250</xdr:rowOff>
    </xdr:from>
    <xdr:ext cx="1143000" cy="1143000"/>
    <xdr:pic>
      <xdr:nvPicPr>
        <xdr:cNvPr id="706" name="Image_715" descr="Image_715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715</xdr:row>
      <xdr:rowOff>95250</xdr:rowOff>
    </xdr:from>
    <xdr:ext cx="1143000" cy="1143000"/>
    <xdr:pic>
      <xdr:nvPicPr>
        <xdr:cNvPr id="707" name="Image_716" descr="Image_716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716</xdr:row>
      <xdr:rowOff>95250</xdr:rowOff>
    </xdr:from>
    <xdr:ext cx="1143000" cy="1143000"/>
    <xdr:pic>
      <xdr:nvPicPr>
        <xdr:cNvPr id="708" name="Image_717" descr="Image_717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717</xdr:row>
      <xdr:rowOff>95250</xdr:rowOff>
    </xdr:from>
    <xdr:ext cx="1143000" cy="1143000"/>
    <xdr:pic>
      <xdr:nvPicPr>
        <xdr:cNvPr id="709" name="Image_718" descr="Image_718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718</xdr:row>
      <xdr:rowOff>95250</xdr:rowOff>
    </xdr:from>
    <xdr:ext cx="1143000" cy="1143000"/>
    <xdr:pic>
      <xdr:nvPicPr>
        <xdr:cNvPr id="710" name="Image_719" descr="Image_719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719</xdr:row>
      <xdr:rowOff>95250</xdr:rowOff>
    </xdr:from>
    <xdr:ext cx="1143000" cy="1143000"/>
    <xdr:pic>
      <xdr:nvPicPr>
        <xdr:cNvPr id="711" name="Image_720" descr="Image_720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720</xdr:row>
      <xdr:rowOff>95250</xdr:rowOff>
    </xdr:from>
    <xdr:ext cx="1143000" cy="1143000"/>
    <xdr:pic>
      <xdr:nvPicPr>
        <xdr:cNvPr id="712" name="Image_721" descr="Image_721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721</xdr:row>
      <xdr:rowOff>95250</xdr:rowOff>
    </xdr:from>
    <xdr:ext cx="1143000" cy="1143000"/>
    <xdr:pic>
      <xdr:nvPicPr>
        <xdr:cNvPr id="713" name="Image_722" descr="Image_722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722</xdr:row>
      <xdr:rowOff>95250</xdr:rowOff>
    </xdr:from>
    <xdr:ext cx="1143000" cy="1143000"/>
    <xdr:pic>
      <xdr:nvPicPr>
        <xdr:cNvPr id="714" name="Image_723" descr="Image_723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723</xdr:row>
      <xdr:rowOff>95250</xdr:rowOff>
    </xdr:from>
    <xdr:ext cx="1143000" cy="1143000"/>
    <xdr:pic>
      <xdr:nvPicPr>
        <xdr:cNvPr id="715" name="Image_724" descr="Image_724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724</xdr:row>
      <xdr:rowOff>95250</xdr:rowOff>
    </xdr:from>
    <xdr:ext cx="1143000" cy="1143000"/>
    <xdr:pic>
      <xdr:nvPicPr>
        <xdr:cNvPr id="716" name="Image_725" descr="Image_725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725</xdr:row>
      <xdr:rowOff>95250</xdr:rowOff>
    </xdr:from>
    <xdr:ext cx="1143000" cy="1143000"/>
    <xdr:pic>
      <xdr:nvPicPr>
        <xdr:cNvPr id="717" name="Image_726" descr="Image_726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726</xdr:row>
      <xdr:rowOff>95250</xdr:rowOff>
    </xdr:from>
    <xdr:ext cx="1143000" cy="1143000"/>
    <xdr:pic>
      <xdr:nvPicPr>
        <xdr:cNvPr id="718" name="Image_727" descr="Image_727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727</xdr:row>
      <xdr:rowOff>95250</xdr:rowOff>
    </xdr:from>
    <xdr:ext cx="1143000" cy="1143000"/>
    <xdr:pic>
      <xdr:nvPicPr>
        <xdr:cNvPr id="719" name="Image_728" descr="Image_728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728</xdr:row>
      <xdr:rowOff>95250</xdr:rowOff>
    </xdr:from>
    <xdr:ext cx="1143000" cy="1143000"/>
    <xdr:pic>
      <xdr:nvPicPr>
        <xdr:cNvPr id="720" name="Image_729" descr="Image_729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729</xdr:row>
      <xdr:rowOff>95250</xdr:rowOff>
    </xdr:from>
    <xdr:ext cx="1143000" cy="1143000"/>
    <xdr:pic>
      <xdr:nvPicPr>
        <xdr:cNvPr id="721" name="Image_730" descr="Image_730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730</xdr:row>
      <xdr:rowOff>95250</xdr:rowOff>
    </xdr:from>
    <xdr:ext cx="1143000" cy="1143000"/>
    <xdr:pic>
      <xdr:nvPicPr>
        <xdr:cNvPr id="722" name="Image_731" descr="Image_731"/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731</xdr:row>
      <xdr:rowOff>95250</xdr:rowOff>
    </xdr:from>
    <xdr:ext cx="1143000" cy="1143000"/>
    <xdr:pic>
      <xdr:nvPicPr>
        <xdr:cNvPr id="723" name="Image_732" descr="Image_732"/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732</xdr:row>
      <xdr:rowOff>95250</xdr:rowOff>
    </xdr:from>
    <xdr:ext cx="1143000" cy="1143000"/>
    <xdr:pic>
      <xdr:nvPicPr>
        <xdr:cNvPr id="724" name="Image_733" descr="Image_733"/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733</xdr:row>
      <xdr:rowOff>95250</xdr:rowOff>
    </xdr:from>
    <xdr:ext cx="1143000" cy="1143000"/>
    <xdr:pic>
      <xdr:nvPicPr>
        <xdr:cNvPr id="725" name="Image_734" descr="Image_734"/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734</xdr:row>
      <xdr:rowOff>95250</xdr:rowOff>
    </xdr:from>
    <xdr:ext cx="1143000" cy="1143000"/>
    <xdr:pic>
      <xdr:nvPicPr>
        <xdr:cNvPr id="726" name="Image_735" descr="Image_735"/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735</xdr:row>
      <xdr:rowOff>95250</xdr:rowOff>
    </xdr:from>
    <xdr:ext cx="1143000" cy="1143000"/>
    <xdr:pic>
      <xdr:nvPicPr>
        <xdr:cNvPr id="727" name="Image_736" descr="Image_736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736</xdr:row>
      <xdr:rowOff>95250</xdr:rowOff>
    </xdr:from>
    <xdr:ext cx="1143000" cy="1143000"/>
    <xdr:pic>
      <xdr:nvPicPr>
        <xdr:cNvPr id="728" name="Image_737" descr="Image_737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737</xdr:row>
      <xdr:rowOff>95250</xdr:rowOff>
    </xdr:from>
    <xdr:ext cx="1143000" cy="1143000"/>
    <xdr:pic>
      <xdr:nvPicPr>
        <xdr:cNvPr id="729" name="Image_738" descr="Image_738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738</xdr:row>
      <xdr:rowOff>95250</xdr:rowOff>
    </xdr:from>
    <xdr:ext cx="1143000" cy="1143000"/>
    <xdr:pic>
      <xdr:nvPicPr>
        <xdr:cNvPr id="730" name="Image_739" descr="Image_739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739</xdr:row>
      <xdr:rowOff>95250</xdr:rowOff>
    </xdr:from>
    <xdr:ext cx="1143000" cy="1143000"/>
    <xdr:pic>
      <xdr:nvPicPr>
        <xdr:cNvPr id="731" name="Image_740" descr="Image_740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740</xdr:row>
      <xdr:rowOff>95250</xdr:rowOff>
    </xdr:from>
    <xdr:ext cx="1143000" cy="1143000"/>
    <xdr:pic>
      <xdr:nvPicPr>
        <xdr:cNvPr id="732" name="Image_741" descr="Image_741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741</xdr:row>
      <xdr:rowOff>95250</xdr:rowOff>
    </xdr:from>
    <xdr:ext cx="1143000" cy="1143000"/>
    <xdr:pic>
      <xdr:nvPicPr>
        <xdr:cNvPr id="733" name="Image_742" descr="Image_742"/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742</xdr:row>
      <xdr:rowOff>95250</xdr:rowOff>
    </xdr:from>
    <xdr:ext cx="1143000" cy="1143000"/>
    <xdr:pic>
      <xdr:nvPicPr>
        <xdr:cNvPr id="734" name="Image_743" descr="Image_743"/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743</xdr:row>
      <xdr:rowOff>95250</xdr:rowOff>
    </xdr:from>
    <xdr:ext cx="1143000" cy="1143000"/>
    <xdr:pic>
      <xdr:nvPicPr>
        <xdr:cNvPr id="735" name="Image_744" descr="Image_744"/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744</xdr:row>
      <xdr:rowOff>95250</xdr:rowOff>
    </xdr:from>
    <xdr:ext cx="1143000" cy="1143000"/>
    <xdr:pic>
      <xdr:nvPicPr>
        <xdr:cNvPr id="736" name="Image_745" descr="Image_745"/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745</xdr:row>
      <xdr:rowOff>95250</xdr:rowOff>
    </xdr:from>
    <xdr:ext cx="1143000" cy="1143000"/>
    <xdr:pic>
      <xdr:nvPicPr>
        <xdr:cNvPr id="737" name="Image_746" descr="Image_746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746</xdr:row>
      <xdr:rowOff>95250</xdr:rowOff>
    </xdr:from>
    <xdr:ext cx="1143000" cy="1143000"/>
    <xdr:pic>
      <xdr:nvPicPr>
        <xdr:cNvPr id="738" name="Image_747" descr="Image_747"/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747</xdr:row>
      <xdr:rowOff>95250</xdr:rowOff>
    </xdr:from>
    <xdr:ext cx="1143000" cy="1143000"/>
    <xdr:pic>
      <xdr:nvPicPr>
        <xdr:cNvPr id="739" name="Image_748" descr="Image_748"/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748</xdr:row>
      <xdr:rowOff>95250</xdr:rowOff>
    </xdr:from>
    <xdr:ext cx="1143000" cy="1143000"/>
    <xdr:pic>
      <xdr:nvPicPr>
        <xdr:cNvPr id="740" name="Image_749" descr="Image_749"/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749</xdr:row>
      <xdr:rowOff>95250</xdr:rowOff>
    </xdr:from>
    <xdr:ext cx="1143000" cy="1143000"/>
    <xdr:pic>
      <xdr:nvPicPr>
        <xdr:cNvPr id="741" name="Image_750" descr="Image_750"/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750</xdr:row>
      <xdr:rowOff>95250</xdr:rowOff>
    </xdr:from>
    <xdr:ext cx="1143000" cy="1143000"/>
    <xdr:pic>
      <xdr:nvPicPr>
        <xdr:cNvPr id="742" name="Image_751" descr="Image_751"/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751</xdr:row>
      <xdr:rowOff>95250</xdr:rowOff>
    </xdr:from>
    <xdr:ext cx="1143000" cy="1143000"/>
    <xdr:pic>
      <xdr:nvPicPr>
        <xdr:cNvPr id="743" name="Image_752" descr="Image_752"/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752</xdr:row>
      <xdr:rowOff>95250</xdr:rowOff>
    </xdr:from>
    <xdr:ext cx="1143000" cy="1143000"/>
    <xdr:pic>
      <xdr:nvPicPr>
        <xdr:cNvPr id="744" name="Image_753" descr="Image_753"/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753</xdr:row>
      <xdr:rowOff>95250</xdr:rowOff>
    </xdr:from>
    <xdr:ext cx="1143000" cy="1143000"/>
    <xdr:pic>
      <xdr:nvPicPr>
        <xdr:cNvPr id="745" name="Image_754" descr="Image_754"/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754</xdr:row>
      <xdr:rowOff>95250</xdr:rowOff>
    </xdr:from>
    <xdr:ext cx="1143000" cy="1143000"/>
    <xdr:pic>
      <xdr:nvPicPr>
        <xdr:cNvPr id="746" name="Image_755" descr="Image_755"/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755</xdr:row>
      <xdr:rowOff>95250</xdr:rowOff>
    </xdr:from>
    <xdr:ext cx="1143000" cy="1143000"/>
    <xdr:pic>
      <xdr:nvPicPr>
        <xdr:cNvPr id="747" name="Image_756" descr="Image_756"/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756</xdr:row>
      <xdr:rowOff>95250</xdr:rowOff>
    </xdr:from>
    <xdr:ext cx="1143000" cy="1143000"/>
    <xdr:pic>
      <xdr:nvPicPr>
        <xdr:cNvPr id="748" name="Image_757" descr="Image_757"/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757</xdr:row>
      <xdr:rowOff>95250</xdr:rowOff>
    </xdr:from>
    <xdr:ext cx="1143000" cy="1143000"/>
    <xdr:pic>
      <xdr:nvPicPr>
        <xdr:cNvPr id="749" name="Image_758" descr="Image_758"/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758</xdr:row>
      <xdr:rowOff>95250</xdr:rowOff>
    </xdr:from>
    <xdr:ext cx="1143000" cy="1143000"/>
    <xdr:pic>
      <xdr:nvPicPr>
        <xdr:cNvPr id="750" name="Image_759" descr="Image_759"/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759</xdr:row>
      <xdr:rowOff>95250</xdr:rowOff>
    </xdr:from>
    <xdr:ext cx="1143000" cy="1143000"/>
    <xdr:pic>
      <xdr:nvPicPr>
        <xdr:cNvPr id="751" name="Image_760" descr="Image_760"/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760</xdr:row>
      <xdr:rowOff>95250</xdr:rowOff>
    </xdr:from>
    <xdr:ext cx="1143000" cy="1143000"/>
    <xdr:pic>
      <xdr:nvPicPr>
        <xdr:cNvPr id="752" name="Image_761" descr="Image_761"/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761</xdr:row>
      <xdr:rowOff>95250</xdr:rowOff>
    </xdr:from>
    <xdr:ext cx="1143000" cy="1143000"/>
    <xdr:pic>
      <xdr:nvPicPr>
        <xdr:cNvPr id="753" name="Image_762" descr="Image_762"/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762</xdr:row>
      <xdr:rowOff>95250</xdr:rowOff>
    </xdr:from>
    <xdr:ext cx="1143000" cy="1143000"/>
    <xdr:pic>
      <xdr:nvPicPr>
        <xdr:cNvPr id="754" name="Image_763" descr="Image_763"/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763</xdr:row>
      <xdr:rowOff>95250</xdr:rowOff>
    </xdr:from>
    <xdr:ext cx="1143000" cy="1143000"/>
    <xdr:pic>
      <xdr:nvPicPr>
        <xdr:cNvPr id="755" name="Image_764" descr="Image_764"/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764</xdr:row>
      <xdr:rowOff>95250</xdr:rowOff>
    </xdr:from>
    <xdr:ext cx="1143000" cy="1143000"/>
    <xdr:pic>
      <xdr:nvPicPr>
        <xdr:cNvPr id="756" name="Image_765" descr="Image_765"/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765</xdr:row>
      <xdr:rowOff>95250</xdr:rowOff>
    </xdr:from>
    <xdr:ext cx="1143000" cy="1143000"/>
    <xdr:pic>
      <xdr:nvPicPr>
        <xdr:cNvPr id="757" name="Image_766" descr="Image_766"/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766</xdr:row>
      <xdr:rowOff>95250</xdr:rowOff>
    </xdr:from>
    <xdr:ext cx="1143000" cy="1143000"/>
    <xdr:pic>
      <xdr:nvPicPr>
        <xdr:cNvPr id="758" name="Image_767" descr="Image_767"/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767</xdr:row>
      <xdr:rowOff>95250</xdr:rowOff>
    </xdr:from>
    <xdr:ext cx="1143000" cy="1143000"/>
    <xdr:pic>
      <xdr:nvPicPr>
        <xdr:cNvPr id="759" name="Image_768" descr="Image_768"/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768</xdr:row>
      <xdr:rowOff>95250</xdr:rowOff>
    </xdr:from>
    <xdr:ext cx="1143000" cy="1143000"/>
    <xdr:pic>
      <xdr:nvPicPr>
        <xdr:cNvPr id="760" name="Image_769" descr="Image_769"/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769</xdr:row>
      <xdr:rowOff>95250</xdr:rowOff>
    </xdr:from>
    <xdr:ext cx="1143000" cy="1143000"/>
    <xdr:pic>
      <xdr:nvPicPr>
        <xdr:cNvPr id="761" name="Image_770" descr="Image_770"/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770</xdr:row>
      <xdr:rowOff>95250</xdr:rowOff>
    </xdr:from>
    <xdr:ext cx="1143000" cy="1143000"/>
    <xdr:pic>
      <xdr:nvPicPr>
        <xdr:cNvPr id="762" name="Image_771" descr="Image_771"/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771</xdr:row>
      <xdr:rowOff>95250</xdr:rowOff>
    </xdr:from>
    <xdr:ext cx="1143000" cy="1143000"/>
    <xdr:pic>
      <xdr:nvPicPr>
        <xdr:cNvPr id="763" name="Image_772" descr="Image_772"/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772</xdr:row>
      <xdr:rowOff>95250</xdr:rowOff>
    </xdr:from>
    <xdr:ext cx="1143000" cy="1143000"/>
    <xdr:pic>
      <xdr:nvPicPr>
        <xdr:cNvPr id="764" name="Image_773" descr="Image_773"/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773</xdr:row>
      <xdr:rowOff>95250</xdr:rowOff>
    </xdr:from>
    <xdr:ext cx="1143000" cy="1143000"/>
    <xdr:pic>
      <xdr:nvPicPr>
        <xdr:cNvPr id="765" name="Image_774" descr="Image_774"/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774</xdr:row>
      <xdr:rowOff>95250</xdr:rowOff>
    </xdr:from>
    <xdr:ext cx="1143000" cy="1143000"/>
    <xdr:pic>
      <xdr:nvPicPr>
        <xdr:cNvPr id="766" name="Image_775" descr="Image_775"/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775</xdr:row>
      <xdr:rowOff>95250</xdr:rowOff>
    </xdr:from>
    <xdr:ext cx="1143000" cy="1143000"/>
    <xdr:pic>
      <xdr:nvPicPr>
        <xdr:cNvPr id="767" name="Image_776" descr="Image_776"/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776</xdr:row>
      <xdr:rowOff>95250</xdr:rowOff>
    </xdr:from>
    <xdr:ext cx="1143000" cy="1143000"/>
    <xdr:pic>
      <xdr:nvPicPr>
        <xdr:cNvPr id="768" name="Image_777" descr="Image_777"/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777</xdr:row>
      <xdr:rowOff>95250</xdr:rowOff>
    </xdr:from>
    <xdr:ext cx="1143000" cy="1143000"/>
    <xdr:pic>
      <xdr:nvPicPr>
        <xdr:cNvPr id="769" name="Image_778" descr="Image_778"/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778</xdr:row>
      <xdr:rowOff>95250</xdr:rowOff>
    </xdr:from>
    <xdr:ext cx="1143000" cy="1143000"/>
    <xdr:pic>
      <xdr:nvPicPr>
        <xdr:cNvPr id="770" name="Image_779" descr="Image_779"/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779</xdr:row>
      <xdr:rowOff>95250</xdr:rowOff>
    </xdr:from>
    <xdr:ext cx="1143000" cy="1143000"/>
    <xdr:pic>
      <xdr:nvPicPr>
        <xdr:cNvPr id="771" name="Image_780" descr="Image_780"/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780</xdr:row>
      <xdr:rowOff>95250</xdr:rowOff>
    </xdr:from>
    <xdr:ext cx="1143000" cy="1143000"/>
    <xdr:pic>
      <xdr:nvPicPr>
        <xdr:cNvPr id="772" name="Image_781" descr="Image_781"/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781</xdr:row>
      <xdr:rowOff>95250</xdr:rowOff>
    </xdr:from>
    <xdr:ext cx="1143000" cy="1143000"/>
    <xdr:pic>
      <xdr:nvPicPr>
        <xdr:cNvPr id="773" name="Image_782" descr="Image_782"/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782</xdr:row>
      <xdr:rowOff>95250</xdr:rowOff>
    </xdr:from>
    <xdr:ext cx="1143000" cy="1143000"/>
    <xdr:pic>
      <xdr:nvPicPr>
        <xdr:cNvPr id="774" name="Image_783" descr="Image_783"/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783</xdr:row>
      <xdr:rowOff>95250</xdr:rowOff>
    </xdr:from>
    <xdr:ext cx="1143000" cy="1143000"/>
    <xdr:pic>
      <xdr:nvPicPr>
        <xdr:cNvPr id="775" name="Image_784" descr="Image_784"/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784</xdr:row>
      <xdr:rowOff>95250</xdr:rowOff>
    </xdr:from>
    <xdr:ext cx="1143000" cy="1143000"/>
    <xdr:pic>
      <xdr:nvPicPr>
        <xdr:cNvPr id="776" name="Image_785" descr="Image_785"/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785</xdr:row>
      <xdr:rowOff>95250</xdr:rowOff>
    </xdr:from>
    <xdr:ext cx="1143000" cy="1143000"/>
    <xdr:pic>
      <xdr:nvPicPr>
        <xdr:cNvPr id="777" name="Image_786" descr="Image_786"/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786</xdr:row>
      <xdr:rowOff>95250</xdr:rowOff>
    </xdr:from>
    <xdr:ext cx="1143000" cy="1143000"/>
    <xdr:pic>
      <xdr:nvPicPr>
        <xdr:cNvPr id="778" name="Image_787" descr="Image_787"/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787</xdr:row>
      <xdr:rowOff>95250</xdr:rowOff>
    </xdr:from>
    <xdr:ext cx="1143000" cy="1143000"/>
    <xdr:pic>
      <xdr:nvPicPr>
        <xdr:cNvPr id="779" name="Image_788" descr="Image_788"/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788</xdr:row>
      <xdr:rowOff>95250</xdr:rowOff>
    </xdr:from>
    <xdr:ext cx="1143000" cy="1143000"/>
    <xdr:pic>
      <xdr:nvPicPr>
        <xdr:cNvPr id="780" name="Image_789" descr="Image_789"/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790</xdr:row>
      <xdr:rowOff>95250</xdr:rowOff>
    </xdr:from>
    <xdr:ext cx="1143000" cy="1143000"/>
    <xdr:pic>
      <xdr:nvPicPr>
        <xdr:cNvPr id="781" name="Image_791" descr="Image_791"/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791</xdr:row>
      <xdr:rowOff>95250</xdr:rowOff>
    </xdr:from>
    <xdr:ext cx="1143000" cy="1143000"/>
    <xdr:pic>
      <xdr:nvPicPr>
        <xdr:cNvPr id="782" name="Image_792" descr="Image_792"/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792</xdr:row>
      <xdr:rowOff>95250</xdr:rowOff>
    </xdr:from>
    <xdr:ext cx="1143000" cy="1143000"/>
    <xdr:pic>
      <xdr:nvPicPr>
        <xdr:cNvPr id="783" name="Image_793" descr="Image_793"/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793</xdr:row>
      <xdr:rowOff>95250</xdr:rowOff>
    </xdr:from>
    <xdr:ext cx="1143000" cy="1143000"/>
    <xdr:pic>
      <xdr:nvPicPr>
        <xdr:cNvPr id="784" name="Image_794" descr="Image_794"/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794</xdr:row>
      <xdr:rowOff>95250</xdr:rowOff>
    </xdr:from>
    <xdr:ext cx="1143000" cy="1143000"/>
    <xdr:pic>
      <xdr:nvPicPr>
        <xdr:cNvPr id="785" name="Image_795" descr="Image_795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795</xdr:row>
      <xdr:rowOff>95250</xdr:rowOff>
    </xdr:from>
    <xdr:ext cx="1143000" cy="1143000"/>
    <xdr:pic>
      <xdr:nvPicPr>
        <xdr:cNvPr id="786" name="Image_796" descr="Image_796"/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796</xdr:row>
      <xdr:rowOff>95250</xdr:rowOff>
    </xdr:from>
    <xdr:ext cx="1143000" cy="1143000"/>
    <xdr:pic>
      <xdr:nvPicPr>
        <xdr:cNvPr id="787" name="Image_797" descr="Image_797"/>
        <xdr:cNvPicPr>
          <a:picLocks noChangeAspect="1"/>
        </xdr:cNvPicPr>
      </xdr:nvPicPr>
      <xdr:blipFill>
        <a:blip xmlns:r="http://schemas.openxmlformats.org/officeDocument/2006/relationships" r:embed="rId7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797</xdr:row>
      <xdr:rowOff>95250</xdr:rowOff>
    </xdr:from>
    <xdr:ext cx="1143000" cy="1143000"/>
    <xdr:pic>
      <xdr:nvPicPr>
        <xdr:cNvPr id="788" name="Image_798" descr="Image_798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798</xdr:row>
      <xdr:rowOff>95250</xdr:rowOff>
    </xdr:from>
    <xdr:ext cx="1143000" cy="1143000"/>
    <xdr:pic>
      <xdr:nvPicPr>
        <xdr:cNvPr id="789" name="Image_799" descr="Image_799"/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799</xdr:row>
      <xdr:rowOff>95250</xdr:rowOff>
    </xdr:from>
    <xdr:ext cx="1143000" cy="1143000"/>
    <xdr:pic>
      <xdr:nvPicPr>
        <xdr:cNvPr id="790" name="Image_800" descr="Image_800"/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800</xdr:row>
      <xdr:rowOff>95250</xdr:rowOff>
    </xdr:from>
    <xdr:ext cx="1143000" cy="1143000"/>
    <xdr:pic>
      <xdr:nvPicPr>
        <xdr:cNvPr id="791" name="Image_801" descr="Image_801"/>
        <xdr:cNvPicPr>
          <a:picLocks noChangeAspect="1"/>
        </xdr:cNvPicPr>
      </xdr:nvPicPr>
      <xdr:blipFill>
        <a:blip xmlns:r="http://schemas.openxmlformats.org/officeDocument/2006/relationships" r:embed="rId7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801</xdr:row>
      <xdr:rowOff>95250</xdr:rowOff>
    </xdr:from>
    <xdr:ext cx="1143000" cy="1143000"/>
    <xdr:pic>
      <xdr:nvPicPr>
        <xdr:cNvPr id="792" name="Image_802" descr="Image_802"/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802</xdr:row>
      <xdr:rowOff>95250</xdr:rowOff>
    </xdr:from>
    <xdr:ext cx="1143000" cy="1143000"/>
    <xdr:pic>
      <xdr:nvPicPr>
        <xdr:cNvPr id="793" name="Image_803" descr="Image_803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803</xdr:row>
      <xdr:rowOff>95250</xdr:rowOff>
    </xdr:from>
    <xdr:ext cx="1143000" cy="1143000"/>
    <xdr:pic>
      <xdr:nvPicPr>
        <xdr:cNvPr id="794" name="Image_804" descr="Image_804"/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804</xdr:row>
      <xdr:rowOff>95250</xdr:rowOff>
    </xdr:from>
    <xdr:ext cx="1143000" cy="1143000"/>
    <xdr:pic>
      <xdr:nvPicPr>
        <xdr:cNvPr id="795" name="Image_805" descr="Image_805"/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805</xdr:row>
      <xdr:rowOff>95250</xdr:rowOff>
    </xdr:from>
    <xdr:ext cx="1143000" cy="1143000"/>
    <xdr:pic>
      <xdr:nvPicPr>
        <xdr:cNvPr id="796" name="Image_806" descr="Image_806"/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806</xdr:row>
      <xdr:rowOff>95250</xdr:rowOff>
    </xdr:from>
    <xdr:ext cx="1143000" cy="1143000"/>
    <xdr:pic>
      <xdr:nvPicPr>
        <xdr:cNvPr id="797" name="Image_807" descr="Image_807"/>
        <xdr:cNvPicPr>
          <a:picLocks noChangeAspect="1"/>
        </xdr:cNvPicPr>
      </xdr:nvPicPr>
      <xdr:blipFill>
        <a:blip xmlns:r="http://schemas.openxmlformats.org/officeDocument/2006/relationships" r:embed="rId7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807</xdr:row>
      <xdr:rowOff>95250</xdr:rowOff>
    </xdr:from>
    <xdr:ext cx="1143000" cy="1143000"/>
    <xdr:pic>
      <xdr:nvPicPr>
        <xdr:cNvPr id="798" name="Image_808" descr="Image_808"/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808</xdr:row>
      <xdr:rowOff>95250</xdr:rowOff>
    </xdr:from>
    <xdr:ext cx="1143000" cy="1143000"/>
    <xdr:pic>
      <xdr:nvPicPr>
        <xdr:cNvPr id="799" name="Image_809" descr="Image_809"/>
        <xdr:cNvPicPr>
          <a:picLocks noChangeAspect="1"/>
        </xdr:cNvPicPr>
      </xdr:nvPicPr>
      <xdr:blipFill>
        <a:blip xmlns:r="http://schemas.openxmlformats.org/officeDocument/2006/relationships" r:embed="rId7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809</xdr:row>
      <xdr:rowOff>95250</xdr:rowOff>
    </xdr:from>
    <xdr:ext cx="1143000" cy="1143000"/>
    <xdr:pic>
      <xdr:nvPicPr>
        <xdr:cNvPr id="800" name="Image_810" descr="Image_810"/>
        <xdr:cNvPicPr>
          <a:picLocks noChangeAspect="1"/>
        </xdr:cNvPicPr>
      </xdr:nvPicPr>
      <xdr:blipFill>
        <a:blip xmlns:r="http://schemas.openxmlformats.org/officeDocument/2006/relationships" r:embed="rId8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810</xdr:row>
      <xdr:rowOff>95250</xdr:rowOff>
    </xdr:from>
    <xdr:ext cx="1143000" cy="1143000"/>
    <xdr:pic>
      <xdr:nvPicPr>
        <xdr:cNvPr id="801" name="Image_811" descr="Image_811"/>
        <xdr:cNvPicPr>
          <a:picLocks noChangeAspect="1"/>
        </xdr:cNvPicPr>
      </xdr:nvPicPr>
      <xdr:blipFill>
        <a:blip xmlns:r="http://schemas.openxmlformats.org/officeDocument/2006/relationships" r:embed="rId8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811</xdr:row>
      <xdr:rowOff>95250</xdr:rowOff>
    </xdr:from>
    <xdr:ext cx="1143000" cy="1143000"/>
    <xdr:pic>
      <xdr:nvPicPr>
        <xdr:cNvPr id="802" name="Image_812" descr="Image_812"/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812</xdr:row>
      <xdr:rowOff>95250</xdr:rowOff>
    </xdr:from>
    <xdr:ext cx="1143000" cy="1143000"/>
    <xdr:pic>
      <xdr:nvPicPr>
        <xdr:cNvPr id="803" name="Image_813" descr="Image_813"/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813</xdr:row>
      <xdr:rowOff>95250</xdr:rowOff>
    </xdr:from>
    <xdr:ext cx="1143000" cy="1143000"/>
    <xdr:pic>
      <xdr:nvPicPr>
        <xdr:cNvPr id="804" name="Image_814" descr="Image_814"/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814</xdr:row>
      <xdr:rowOff>95250</xdr:rowOff>
    </xdr:from>
    <xdr:ext cx="1143000" cy="1143000"/>
    <xdr:pic>
      <xdr:nvPicPr>
        <xdr:cNvPr id="805" name="Image_815" descr="Image_815"/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815</xdr:row>
      <xdr:rowOff>95250</xdr:rowOff>
    </xdr:from>
    <xdr:ext cx="1143000" cy="1143000"/>
    <xdr:pic>
      <xdr:nvPicPr>
        <xdr:cNvPr id="806" name="Image_816" descr="Image_816"/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816</xdr:row>
      <xdr:rowOff>95250</xdr:rowOff>
    </xdr:from>
    <xdr:ext cx="1143000" cy="1143000"/>
    <xdr:pic>
      <xdr:nvPicPr>
        <xdr:cNvPr id="807" name="Image_817" descr="Image_817"/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817</xdr:row>
      <xdr:rowOff>95250</xdr:rowOff>
    </xdr:from>
    <xdr:ext cx="1143000" cy="1143000"/>
    <xdr:pic>
      <xdr:nvPicPr>
        <xdr:cNvPr id="808" name="Image_818" descr="Image_818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818</xdr:row>
      <xdr:rowOff>95250</xdr:rowOff>
    </xdr:from>
    <xdr:ext cx="1143000" cy="1143000"/>
    <xdr:pic>
      <xdr:nvPicPr>
        <xdr:cNvPr id="809" name="Image_819" descr="Image_819"/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819</xdr:row>
      <xdr:rowOff>95250</xdr:rowOff>
    </xdr:from>
    <xdr:ext cx="1143000" cy="1143000"/>
    <xdr:pic>
      <xdr:nvPicPr>
        <xdr:cNvPr id="810" name="Image_820" descr="Image_820"/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820</xdr:row>
      <xdr:rowOff>95250</xdr:rowOff>
    </xdr:from>
    <xdr:ext cx="1143000" cy="1143000"/>
    <xdr:pic>
      <xdr:nvPicPr>
        <xdr:cNvPr id="811" name="Image_821" descr="Image_821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821</xdr:row>
      <xdr:rowOff>95250</xdr:rowOff>
    </xdr:from>
    <xdr:ext cx="1143000" cy="1143000"/>
    <xdr:pic>
      <xdr:nvPicPr>
        <xdr:cNvPr id="812" name="Image_822" descr="Image_822"/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822</xdr:row>
      <xdr:rowOff>95250</xdr:rowOff>
    </xdr:from>
    <xdr:ext cx="1143000" cy="1143000"/>
    <xdr:pic>
      <xdr:nvPicPr>
        <xdr:cNvPr id="813" name="Image_823" descr="Image_823"/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823</xdr:row>
      <xdr:rowOff>95250</xdr:rowOff>
    </xdr:from>
    <xdr:ext cx="1143000" cy="1143000"/>
    <xdr:pic>
      <xdr:nvPicPr>
        <xdr:cNvPr id="814" name="Image_824" descr="Image_824"/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824</xdr:row>
      <xdr:rowOff>95250</xdr:rowOff>
    </xdr:from>
    <xdr:ext cx="1143000" cy="1143000"/>
    <xdr:pic>
      <xdr:nvPicPr>
        <xdr:cNvPr id="815" name="Image_825" descr="Image_825"/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825</xdr:row>
      <xdr:rowOff>95250</xdr:rowOff>
    </xdr:from>
    <xdr:ext cx="1143000" cy="1143000"/>
    <xdr:pic>
      <xdr:nvPicPr>
        <xdr:cNvPr id="816" name="Image_826" descr="Image_826"/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826</xdr:row>
      <xdr:rowOff>95250</xdr:rowOff>
    </xdr:from>
    <xdr:ext cx="1143000" cy="1143000"/>
    <xdr:pic>
      <xdr:nvPicPr>
        <xdr:cNvPr id="817" name="Image_827" descr="Image_827"/>
        <xdr:cNvPicPr>
          <a:picLocks noChangeAspect="1"/>
        </xdr:cNvPicPr>
      </xdr:nvPicPr>
      <xdr:blipFill>
        <a:blip xmlns:r="http://schemas.openxmlformats.org/officeDocument/2006/relationships" r:embed="rId8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827</xdr:row>
      <xdr:rowOff>95250</xdr:rowOff>
    </xdr:from>
    <xdr:ext cx="1143000" cy="1143000"/>
    <xdr:pic>
      <xdr:nvPicPr>
        <xdr:cNvPr id="818" name="Image_828" descr="Image_828"/>
        <xdr:cNvPicPr>
          <a:picLocks noChangeAspect="1"/>
        </xdr:cNvPicPr>
      </xdr:nvPicPr>
      <xdr:blipFill>
        <a:blip xmlns:r="http://schemas.openxmlformats.org/officeDocument/2006/relationships" r:embed="rId8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828</xdr:row>
      <xdr:rowOff>95250</xdr:rowOff>
    </xdr:from>
    <xdr:ext cx="1143000" cy="1143000"/>
    <xdr:pic>
      <xdr:nvPicPr>
        <xdr:cNvPr id="819" name="Image_829" descr="Image_829"/>
        <xdr:cNvPicPr>
          <a:picLocks noChangeAspect="1"/>
        </xdr:cNvPicPr>
      </xdr:nvPicPr>
      <xdr:blipFill>
        <a:blip xmlns:r="http://schemas.openxmlformats.org/officeDocument/2006/relationships" r:embed="rId8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829</xdr:row>
      <xdr:rowOff>95250</xdr:rowOff>
    </xdr:from>
    <xdr:ext cx="1143000" cy="1143000"/>
    <xdr:pic>
      <xdr:nvPicPr>
        <xdr:cNvPr id="820" name="Image_830" descr="Image_830"/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830</xdr:row>
      <xdr:rowOff>95250</xdr:rowOff>
    </xdr:from>
    <xdr:ext cx="1143000" cy="1143000"/>
    <xdr:pic>
      <xdr:nvPicPr>
        <xdr:cNvPr id="821" name="Image_831" descr="Image_831"/>
        <xdr:cNvPicPr>
          <a:picLocks noChangeAspect="1"/>
        </xdr:cNvPicPr>
      </xdr:nvPicPr>
      <xdr:blipFill>
        <a:blip xmlns:r="http://schemas.openxmlformats.org/officeDocument/2006/relationships" r:embed="rId8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831</xdr:row>
      <xdr:rowOff>95250</xdr:rowOff>
    </xdr:from>
    <xdr:ext cx="1143000" cy="1143000"/>
    <xdr:pic>
      <xdr:nvPicPr>
        <xdr:cNvPr id="822" name="Image_832" descr="Image_832"/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832</xdr:row>
      <xdr:rowOff>95250</xdr:rowOff>
    </xdr:from>
    <xdr:ext cx="1143000" cy="1143000"/>
    <xdr:pic>
      <xdr:nvPicPr>
        <xdr:cNvPr id="823" name="Image_833" descr="Image_833"/>
        <xdr:cNvPicPr>
          <a:picLocks noChangeAspect="1"/>
        </xdr:cNvPicPr>
      </xdr:nvPicPr>
      <xdr:blipFill>
        <a:blip xmlns:r="http://schemas.openxmlformats.org/officeDocument/2006/relationships" r:embed="rId8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833</xdr:row>
      <xdr:rowOff>95250</xdr:rowOff>
    </xdr:from>
    <xdr:ext cx="1143000" cy="1143000"/>
    <xdr:pic>
      <xdr:nvPicPr>
        <xdr:cNvPr id="824" name="Image_834" descr="Image_834"/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834</xdr:row>
      <xdr:rowOff>95250</xdr:rowOff>
    </xdr:from>
    <xdr:ext cx="1143000" cy="1143000"/>
    <xdr:pic>
      <xdr:nvPicPr>
        <xdr:cNvPr id="825" name="Image_835" descr="Image_835"/>
        <xdr:cNvPicPr>
          <a:picLocks noChangeAspect="1"/>
        </xdr:cNvPicPr>
      </xdr:nvPicPr>
      <xdr:blipFill>
        <a:blip xmlns:r="http://schemas.openxmlformats.org/officeDocument/2006/relationships" r:embed="rId8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835</xdr:row>
      <xdr:rowOff>95250</xdr:rowOff>
    </xdr:from>
    <xdr:ext cx="1143000" cy="1143000"/>
    <xdr:pic>
      <xdr:nvPicPr>
        <xdr:cNvPr id="826" name="Image_836" descr="Image_836"/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836</xdr:row>
      <xdr:rowOff>95250</xdr:rowOff>
    </xdr:from>
    <xdr:ext cx="1143000" cy="1143000"/>
    <xdr:pic>
      <xdr:nvPicPr>
        <xdr:cNvPr id="827" name="Image_837" descr="Image_837"/>
        <xdr:cNvPicPr>
          <a:picLocks noChangeAspect="1"/>
        </xdr:cNvPicPr>
      </xdr:nvPicPr>
      <xdr:blipFill>
        <a:blip xmlns:r="http://schemas.openxmlformats.org/officeDocument/2006/relationships" r:embed="rId8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837</xdr:row>
      <xdr:rowOff>95250</xdr:rowOff>
    </xdr:from>
    <xdr:ext cx="1143000" cy="1143000"/>
    <xdr:pic>
      <xdr:nvPicPr>
        <xdr:cNvPr id="828" name="Image_838" descr="Image_838"/>
        <xdr:cNvPicPr>
          <a:picLocks noChangeAspect="1"/>
        </xdr:cNvPicPr>
      </xdr:nvPicPr>
      <xdr:blipFill>
        <a:blip xmlns:r="http://schemas.openxmlformats.org/officeDocument/2006/relationships" r:embed="rId8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838</xdr:row>
      <xdr:rowOff>95250</xdr:rowOff>
    </xdr:from>
    <xdr:ext cx="1143000" cy="1143000"/>
    <xdr:pic>
      <xdr:nvPicPr>
        <xdr:cNvPr id="829" name="Image_839" descr="Image_839"/>
        <xdr:cNvPicPr>
          <a:picLocks noChangeAspect="1"/>
        </xdr:cNvPicPr>
      </xdr:nvPicPr>
      <xdr:blipFill>
        <a:blip xmlns:r="http://schemas.openxmlformats.org/officeDocument/2006/relationships" r:embed="rId8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839</xdr:row>
      <xdr:rowOff>95250</xdr:rowOff>
    </xdr:from>
    <xdr:ext cx="1143000" cy="1143000"/>
    <xdr:pic>
      <xdr:nvPicPr>
        <xdr:cNvPr id="830" name="Image_840" descr="Image_840"/>
        <xdr:cNvPicPr>
          <a:picLocks noChangeAspect="1"/>
        </xdr:cNvPicPr>
      </xdr:nvPicPr>
      <xdr:blipFill>
        <a:blip xmlns:r="http://schemas.openxmlformats.org/officeDocument/2006/relationships" r:embed="rId8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840</xdr:row>
      <xdr:rowOff>95250</xdr:rowOff>
    </xdr:from>
    <xdr:ext cx="1143000" cy="1143000"/>
    <xdr:pic>
      <xdr:nvPicPr>
        <xdr:cNvPr id="831" name="Image_841" descr="Image_841"/>
        <xdr:cNvPicPr>
          <a:picLocks noChangeAspect="1"/>
        </xdr:cNvPicPr>
      </xdr:nvPicPr>
      <xdr:blipFill>
        <a:blip xmlns:r="http://schemas.openxmlformats.org/officeDocument/2006/relationships" r:embed="rId8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841</xdr:row>
      <xdr:rowOff>95250</xdr:rowOff>
    </xdr:from>
    <xdr:ext cx="1143000" cy="1143000"/>
    <xdr:pic>
      <xdr:nvPicPr>
        <xdr:cNvPr id="832" name="Image_842" descr="Image_842"/>
        <xdr:cNvPicPr>
          <a:picLocks noChangeAspect="1"/>
        </xdr:cNvPicPr>
      </xdr:nvPicPr>
      <xdr:blipFill>
        <a:blip xmlns:r="http://schemas.openxmlformats.org/officeDocument/2006/relationships" r:embed="rId8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842</xdr:row>
      <xdr:rowOff>95250</xdr:rowOff>
    </xdr:from>
    <xdr:ext cx="1143000" cy="1143000"/>
    <xdr:pic>
      <xdr:nvPicPr>
        <xdr:cNvPr id="833" name="Image_843" descr="Image_843"/>
        <xdr:cNvPicPr>
          <a:picLocks noChangeAspect="1"/>
        </xdr:cNvPicPr>
      </xdr:nvPicPr>
      <xdr:blipFill>
        <a:blip xmlns:r="http://schemas.openxmlformats.org/officeDocument/2006/relationships" r:embed="rId8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843</xdr:row>
      <xdr:rowOff>95250</xdr:rowOff>
    </xdr:from>
    <xdr:ext cx="1143000" cy="1143000"/>
    <xdr:pic>
      <xdr:nvPicPr>
        <xdr:cNvPr id="834" name="Image_844" descr="Image_844"/>
        <xdr:cNvPicPr>
          <a:picLocks noChangeAspect="1"/>
        </xdr:cNvPicPr>
      </xdr:nvPicPr>
      <xdr:blipFill>
        <a:blip xmlns:r="http://schemas.openxmlformats.org/officeDocument/2006/relationships" r:embed="rId8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844</xdr:row>
      <xdr:rowOff>95250</xdr:rowOff>
    </xdr:from>
    <xdr:ext cx="1143000" cy="1143000"/>
    <xdr:pic>
      <xdr:nvPicPr>
        <xdr:cNvPr id="835" name="Image_845" descr="Image_845"/>
        <xdr:cNvPicPr>
          <a:picLocks noChangeAspect="1"/>
        </xdr:cNvPicPr>
      </xdr:nvPicPr>
      <xdr:blipFill>
        <a:blip xmlns:r="http://schemas.openxmlformats.org/officeDocument/2006/relationships" r:embed="rId8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845</xdr:row>
      <xdr:rowOff>95250</xdr:rowOff>
    </xdr:from>
    <xdr:ext cx="1143000" cy="1143000"/>
    <xdr:pic>
      <xdr:nvPicPr>
        <xdr:cNvPr id="836" name="Image_846" descr="Image_846"/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846</xdr:row>
      <xdr:rowOff>95250</xdr:rowOff>
    </xdr:from>
    <xdr:ext cx="1143000" cy="1143000"/>
    <xdr:pic>
      <xdr:nvPicPr>
        <xdr:cNvPr id="837" name="Image_847" descr="Image_847"/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847</xdr:row>
      <xdr:rowOff>95250</xdr:rowOff>
    </xdr:from>
    <xdr:ext cx="1143000" cy="1143000"/>
    <xdr:pic>
      <xdr:nvPicPr>
        <xdr:cNvPr id="838" name="Image_848" descr="Image_848"/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848</xdr:row>
      <xdr:rowOff>95250</xdr:rowOff>
    </xdr:from>
    <xdr:ext cx="1143000" cy="1143000"/>
    <xdr:pic>
      <xdr:nvPicPr>
        <xdr:cNvPr id="839" name="Image_849" descr="Image_849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849</xdr:row>
      <xdr:rowOff>95250</xdr:rowOff>
    </xdr:from>
    <xdr:ext cx="1143000" cy="1143000"/>
    <xdr:pic>
      <xdr:nvPicPr>
        <xdr:cNvPr id="840" name="Image_850" descr="Image_850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850</xdr:row>
      <xdr:rowOff>95250</xdr:rowOff>
    </xdr:from>
    <xdr:ext cx="1143000" cy="1143000"/>
    <xdr:pic>
      <xdr:nvPicPr>
        <xdr:cNvPr id="841" name="Image_851" descr="Image_851"/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851</xdr:row>
      <xdr:rowOff>95250</xdr:rowOff>
    </xdr:from>
    <xdr:ext cx="1143000" cy="1143000"/>
    <xdr:pic>
      <xdr:nvPicPr>
        <xdr:cNvPr id="842" name="Image_852" descr="Image_852"/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852</xdr:row>
      <xdr:rowOff>95250</xdr:rowOff>
    </xdr:from>
    <xdr:ext cx="1143000" cy="1143000"/>
    <xdr:pic>
      <xdr:nvPicPr>
        <xdr:cNvPr id="843" name="Image_853" descr="Image_853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853</xdr:row>
      <xdr:rowOff>95250</xdr:rowOff>
    </xdr:from>
    <xdr:ext cx="1143000" cy="1143000"/>
    <xdr:pic>
      <xdr:nvPicPr>
        <xdr:cNvPr id="844" name="Image_854" descr="Image_854"/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854</xdr:row>
      <xdr:rowOff>95250</xdr:rowOff>
    </xdr:from>
    <xdr:ext cx="1143000" cy="1143000"/>
    <xdr:pic>
      <xdr:nvPicPr>
        <xdr:cNvPr id="845" name="Image_855" descr="Image_855"/>
        <xdr:cNvPicPr>
          <a:picLocks noChangeAspect="1"/>
        </xdr:cNvPicPr>
      </xdr:nvPicPr>
      <xdr:blipFill>
        <a:blip xmlns:r="http://schemas.openxmlformats.org/officeDocument/2006/relationships" r:embed="rId8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855</xdr:row>
      <xdr:rowOff>95250</xdr:rowOff>
    </xdr:from>
    <xdr:ext cx="1143000" cy="1143000"/>
    <xdr:pic>
      <xdr:nvPicPr>
        <xdr:cNvPr id="846" name="Image_856" descr="Image_856"/>
        <xdr:cNvPicPr>
          <a:picLocks noChangeAspect="1"/>
        </xdr:cNvPicPr>
      </xdr:nvPicPr>
      <xdr:blipFill>
        <a:blip xmlns:r="http://schemas.openxmlformats.org/officeDocument/2006/relationships" r:embed="rId8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856</xdr:row>
      <xdr:rowOff>95250</xdr:rowOff>
    </xdr:from>
    <xdr:ext cx="1143000" cy="1143000"/>
    <xdr:pic>
      <xdr:nvPicPr>
        <xdr:cNvPr id="847" name="Image_857" descr="Image_857"/>
        <xdr:cNvPicPr>
          <a:picLocks noChangeAspect="1"/>
        </xdr:cNvPicPr>
      </xdr:nvPicPr>
      <xdr:blipFill>
        <a:blip xmlns:r="http://schemas.openxmlformats.org/officeDocument/2006/relationships" r:embed="rId8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857</xdr:row>
      <xdr:rowOff>95250</xdr:rowOff>
    </xdr:from>
    <xdr:ext cx="1143000" cy="1143000"/>
    <xdr:pic>
      <xdr:nvPicPr>
        <xdr:cNvPr id="848" name="Image_858" descr="Image_858"/>
        <xdr:cNvPicPr>
          <a:picLocks noChangeAspect="1"/>
        </xdr:cNvPicPr>
      </xdr:nvPicPr>
      <xdr:blipFill>
        <a:blip xmlns:r="http://schemas.openxmlformats.org/officeDocument/2006/relationships" r:embed="rId8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858</xdr:row>
      <xdr:rowOff>95250</xdr:rowOff>
    </xdr:from>
    <xdr:ext cx="1143000" cy="1143000"/>
    <xdr:pic>
      <xdr:nvPicPr>
        <xdr:cNvPr id="849" name="Image_859" descr="Image_859"/>
        <xdr:cNvPicPr>
          <a:picLocks noChangeAspect="1"/>
        </xdr:cNvPicPr>
      </xdr:nvPicPr>
      <xdr:blipFill>
        <a:blip xmlns:r="http://schemas.openxmlformats.org/officeDocument/2006/relationships" r:embed="rId8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859</xdr:row>
      <xdr:rowOff>95250</xdr:rowOff>
    </xdr:from>
    <xdr:ext cx="1143000" cy="1143000"/>
    <xdr:pic>
      <xdr:nvPicPr>
        <xdr:cNvPr id="850" name="Image_860" descr="Image_860"/>
        <xdr:cNvPicPr>
          <a:picLocks noChangeAspect="1"/>
        </xdr:cNvPicPr>
      </xdr:nvPicPr>
      <xdr:blipFill>
        <a:blip xmlns:r="http://schemas.openxmlformats.org/officeDocument/2006/relationships" r:embed="rId8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860</xdr:row>
      <xdr:rowOff>95250</xdr:rowOff>
    </xdr:from>
    <xdr:ext cx="1143000" cy="1143000"/>
    <xdr:pic>
      <xdr:nvPicPr>
        <xdr:cNvPr id="851" name="Image_861" descr="Image_861"/>
        <xdr:cNvPicPr>
          <a:picLocks noChangeAspect="1"/>
        </xdr:cNvPicPr>
      </xdr:nvPicPr>
      <xdr:blipFill>
        <a:blip xmlns:r="http://schemas.openxmlformats.org/officeDocument/2006/relationships" r:embed="rId8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861</xdr:row>
      <xdr:rowOff>95250</xdr:rowOff>
    </xdr:from>
    <xdr:ext cx="1143000" cy="1143000"/>
    <xdr:pic>
      <xdr:nvPicPr>
        <xdr:cNvPr id="852" name="Image_862" descr="Image_862"/>
        <xdr:cNvPicPr>
          <a:picLocks noChangeAspect="1"/>
        </xdr:cNvPicPr>
      </xdr:nvPicPr>
      <xdr:blipFill>
        <a:blip xmlns:r="http://schemas.openxmlformats.org/officeDocument/2006/relationships" r:embed="rId8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862</xdr:row>
      <xdr:rowOff>95250</xdr:rowOff>
    </xdr:from>
    <xdr:ext cx="1143000" cy="1143000"/>
    <xdr:pic>
      <xdr:nvPicPr>
        <xdr:cNvPr id="853" name="Image_863" descr="Image_863"/>
        <xdr:cNvPicPr>
          <a:picLocks noChangeAspect="1"/>
        </xdr:cNvPicPr>
      </xdr:nvPicPr>
      <xdr:blipFill>
        <a:blip xmlns:r="http://schemas.openxmlformats.org/officeDocument/2006/relationships" r:embed="rId8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863</xdr:row>
      <xdr:rowOff>95250</xdr:rowOff>
    </xdr:from>
    <xdr:ext cx="1143000" cy="1143000"/>
    <xdr:pic>
      <xdr:nvPicPr>
        <xdr:cNvPr id="854" name="Image_864" descr="Image_864"/>
        <xdr:cNvPicPr>
          <a:picLocks noChangeAspect="1"/>
        </xdr:cNvPicPr>
      </xdr:nvPicPr>
      <xdr:blipFill>
        <a:blip xmlns:r="http://schemas.openxmlformats.org/officeDocument/2006/relationships" r:embed="rId8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864</xdr:row>
      <xdr:rowOff>95250</xdr:rowOff>
    </xdr:from>
    <xdr:ext cx="1143000" cy="1143000"/>
    <xdr:pic>
      <xdr:nvPicPr>
        <xdr:cNvPr id="855" name="Image_865" descr="Image_865"/>
        <xdr:cNvPicPr>
          <a:picLocks noChangeAspect="1"/>
        </xdr:cNvPicPr>
      </xdr:nvPicPr>
      <xdr:blipFill>
        <a:blip xmlns:r="http://schemas.openxmlformats.org/officeDocument/2006/relationships" r:embed="rId8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865</xdr:row>
      <xdr:rowOff>95250</xdr:rowOff>
    </xdr:from>
    <xdr:ext cx="1143000" cy="1143000"/>
    <xdr:pic>
      <xdr:nvPicPr>
        <xdr:cNvPr id="856" name="Image_866" descr="Image_866"/>
        <xdr:cNvPicPr>
          <a:picLocks noChangeAspect="1"/>
        </xdr:cNvPicPr>
      </xdr:nvPicPr>
      <xdr:blipFill>
        <a:blip xmlns:r="http://schemas.openxmlformats.org/officeDocument/2006/relationships" r:embed="rId8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866</xdr:row>
      <xdr:rowOff>95250</xdr:rowOff>
    </xdr:from>
    <xdr:ext cx="1143000" cy="1143000"/>
    <xdr:pic>
      <xdr:nvPicPr>
        <xdr:cNvPr id="857" name="Image_867" descr="Image_867"/>
        <xdr:cNvPicPr>
          <a:picLocks noChangeAspect="1"/>
        </xdr:cNvPicPr>
      </xdr:nvPicPr>
      <xdr:blipFill>
        <a:blip xmlns:r="http://schemas.openxmlformats.org/officeDocument/2006/relationships" r:embed="rId8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867</xdr:row>
      <xdr:rowOff>95250</xdr:rowOff>
    </xdr:from>
    <xdr:ext cx="1143000" cy="1143000"/>
    <xdr:pic>
      <xdr:nvPicPr>
        <xdr:cNvPr id="858" name="Image_868" descr="Image_868"/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868</xdr:row>
      <xdr:rowOff>95250</xdr:rowOff>
    </xdr:from>
    <xdr:ext cx="1143000" cy="1143000"/>
    <xdr:pic>
      <xdr:nvPicPr>
        <xdr:cNvPr id="859" name="Image_869" descr="Image_869"/>
        <xdr:cNvPicPr>
          <a:picLocks noChangeAspect="1"/>
        </xdr:cNvPicPr>
      </xdr:nvPicPr>
      <xdr:blipFill>
        <a:blip xmlns:r="http://schemas.openxmlformats.org/officeDocument/2006/relationships" r:embed="rId8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869</xdr:row>
      <xdr:rowOff>95250</xdr:rowOff>
    </xdr:from>
    <xdr:ext cx="1143000" cy="1143000"/>
    <xdr:pic>
      <xdr:nvPicPr>
        <xdr:cNvPr id="860" name="Image_870" descr="Image_870"/>
        <xdr:cNvPicPr>
          <a:picLocks noChangeAspect="1"/>
        </xdr:cNvPicPr>
      </xdr:nvPicPr>
      <xdr:blipFill>
        <a:blip xmlns:r="http://schemas.openxmlformats.org/officeDocument/2006/relationships" r:embed="rId8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870</xdr:row>
      <xdr:rowOff>95250</xdr:rowOff>
    </xdr:from>
    <xdr:ext cx="1143000" cy="1143000"/>
    <xdr:pic>
      <xdr:nvPicPr>
        <xdr:cNvPr id="861" name="Image_871" descr="Image_871"/>
        <xdr:cNvPicPr>
          <a:picLocks noChangeAspect="1"/>
        </xdr:cNvPicPr>
      </xdr:nvPicPr>
      <xdr:blipFill>
        <a:blip xmlns:r="http://schemas.openxmlformats.org/officeDocument/2006/relationships" r:embed="rId8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871</xdr:row>
      <xdr:rowOff>95250</xdr:rowOff>
    </xdr:from>
    <xdr:ext cx="1143000" cy="1143000"/>
    <xdr:pic>
      <xdr:nvPicPr>
        <xdr:cNvPr id="862" name="Image_872" descr="Image_872"/>
        <xdr:cNvPicPr>
          <a:picLocks noChangeAspect="1"/>
        </xdr:cNvPicPr>
      </xdr:nvPicPr>
      <xdr:blipFill>
        <a:blip xmlns:r="http://schemas.openxmlformats.org/officeDocument/2006/relationships" r:embed="rId8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872</xdr:row>
      <xdr:rowOff>95250</xdr:rowOff>
    </xdr:from>
    <xdr:ext cx="1143000" cy="1143000"/>
    <xdr:pic>
      <xdr:nvPicPr>
        <xdr:cNvPr id="863" name="Image_873" descr="Image_873"/>
        <xdr:cNvPicPr>
          <a:picLocks noChangeAspect="1"/>
        </xdr:cNvPicPr>
      </xdr:nvPicPr>
      <xdr:blipFill>
        <a:blip xmlns:r="http://schemas.openxmlformats.org/officeDocument/2006/relationships" r:embed="rId8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873</xdr:row>
      <xdr:rowOff>95250</xdr:rowOff>
    </xdr:from>
    <xdr:ext cx="1143000" cy="1143000"/>
    <xdr:pic>
      <xdr:nvPicPr>
        <xdr:cNvPr id="864" name="Image_874" descr="Image_874"/>
        <xdr:cNvPicPr>
          <a:picLocks noChangeAspect="1"/>
        </xdr:cNvPicPr>
      </xdr:nvPicPr>
      <xdr:blipFill>
        <a:blip xmlns:r="http://schemas.openxmlformats.org/officeDocument/2006/relationships" r:embed="rId8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874</xdr:row>
      <xdr:rowOff>95250</xdr:rowOff>
    </xdr:from>
    <xdr:ext cx="1143000" cy="1143000"/>
    <xdr:pic>
      <xdr:nvPicPr>
        <xdr:cNvPr id="865" name="Image_875" descr="Image_875"/>
        <xdr:cNvPicPr>
          <a:picLocks noChangeAspect="1"/>
        </xdr:cNvPicPr>
      </xdr:nvPicPr>
      <xdr:blipFill>
        <a:blip xmlns:r="http://schemas.openxmlformats.org/officeDocument/2006/relationships" r:embed="rId8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875</xdr:row>
      <xdr:rowOff>95250</xdr:rowOff>
    </xdr:from>
    <xdr:ext cx="1143000" cy="1143000"/>
    <xdr:pic>
      <xdr:nvPicPr>
        <xdr:cNvPr id="866" name="Image_876" descr="Image_876"/>
        <xdr:cNvPicPr>
          <a:picLocks noChangeAspect="1"/>
        </xdr:cNvPicPr>
      </xdr:nvPicPr>
      <xdr:blipFill>
        <a:blip xmlns:r="http://schemas.openxmlformats.org/officeDocument/2006/relationships" r:embed="rId8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876</xdr:row>
      <xdr:rowOff>95250</xdr:rowOff>
    </xdr:from>
    <xdr:ext cx="1143000" cy="1143000"/>
    <xdr:pic>
      <xdr:nvPicPr>
        <xdr:cNvPr id="867" name="Image_877" descr="Image_877"/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877</xdr:row>
      <xdr:rowOff>95250</xdr:rowOff>
    </xdr:from>
    <xdr:ext cx="1143000" cy="1143000"/>
    <xdr:pic>
      <xdr:nvPicPr>
        <xdr:cNvPr id="868" name="Image_878" descr="Image_878"/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878</xdr:row>
      <xdr:rowOff>95250</xdr:rowOff>
    </xdr:from>
    <xdr:ext cx="1143000" cy="1143000"/>
    <xdr:pic>
      <xdr:nvPicPr>
        <xdr:cNvPr id="869" name="Image_879" descr="Image_879"/>
        <xdr:cNvPicPr>
          <a:picLocks noChangeAspect="1"/>
        </xdr:cNvPicPr>
      </xdr:nvPicPr>
      <xdr:blipFill>
        <a:blip xmlns:r="http://schemas.openxmlformats.org/officeDocument/2006/relationships" r:embed="rId8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879</xdr:row>
      <xdr:rowOff>95250</xdr:rowOff>
    </xdr:from>
    <xdr:ext cx="1143000" cy="1143000"/>
    <xdr:pic>
      <xdr:nvPicPr>
        <xdr:cNvPr id="870" name="Image_880" descr="Image_880"/>
        <xdr:cNvPicPr>
          <a:picLocks noChangeAspect="1"/>
        </xdr:cNvPicPr>
      </xdr:nvPicPr>
      <xdr:blipFill>
        <a:blip xmlns:r="http://schemas.openxmlformats.org/officeDocument/2006/relationships" r:embed="rId8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880</xdr:row>
      <xdr:rowOff>95250</xdr:rowOff>
    </xdr:from>
    <xdr:ext cx="1143000" cy="1143000"/>
    <xdr:pic>
      <xdr:nvPicPr>
        <xdr:cNvPr id="871" name="Image_881" descr="Image_881"/>
        <xdr:cNvPicPr>
          <a:picLocks noChangeAspect="1"/>
        </xdr:cNvPicPr>
      </xdr:nvPicPr>
      <xdr:blipFill>
        <a:blip xmlns:r="http://schemas.openxmlformats.org/officeDocument/2006/relationships" r:embed="rId8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881</xdr:row>
      <xdr:rowOff>95250</xdr:rowOff>
    </xdr:from>
    <xdr:ext cx="1143000" cy="1143000"/>
    <xdr:pic>
      <xdr:nvPicPr>
        <xdr:cNvPr id="872" name="Image_882" descr="Image_882"/>
        <xdr:cNvPicPr>
          <a:picLocks noChangeAspect="1"/>
        </xdr:cNvPicPr>
      </xdr:nvPicPr>
      <xdr:blipFill>
        <a:blip xmlns:r="http://schemas.openxmlformats.org/officeDocument/2006/relationships" r:embed="rId8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882</xdr:row>
      <xdr:rowOff>95250</xdr:rowOff>
    </xdr:from>
    <xdr:ext cx="1143000" cy="1143000"/>
    <xdr:pic>
      <xdr:nvPicPr>
        <xdr:cNvPr id="873" name="Image_883" descr="Image_883"/>
        <xdr:cNvPicPr>
          <a:picLocks noChangeAspect="1"/>
        </xdr:cNvPicPr>
      </xdr:nvPicPr>
      <xdr:blipFill>
        <a:blip xmlns:r="http://schemas.openxmlformats.org/officeDocument/2006/relationships" r:embed="rId8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883</xdr:row>
      <xdr:rowOff>95250</xdr:rowOff>
    </xdr:from>
    <xdr:ext cx="1143000" cy="1143000"/>
    <xdr:pic>
      <xdr:nvPicPr>
        <xdr:cNvPr id="874" name="Image_884" descr="Image_884"/>
        <xdr:cNvPicPr>
          <a:picLocks noChangeAspect="1"/>
        </xdr:cNvPicPr>
      </xdr:nvPicPr>
      <xdr:blipFill>
        <a:blip xmlns:r="http://schemas.openxmlformats.org/officeDocument/2006/relationships" r:embed="rId8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884</xdr:row>
      <xdr:rowOff>95250</xdr:rowOff>
    </xdr:from>
    <xdr:ext cx="1143000" cy="1143000"/>
    <xdr:pic>
      <xdr:nvPicPr>
        <xdr:cNvPr id="875" name="Image_885" descr="Image_885"/>
        <xdr:cNvPicPr>
          <a:picLocks noChangeAspect="1"/>
        </xdr:cNvPicPr>
      </xdr:nvPicPr>
      <xdr:blipFill>
        <a:blip xmlns:r="http://schemas.openxmlformats.org/officeDocument/2006/relationships" r:embed="rId8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885</xdr:row>
      <xdr:rowOff>95250</xdr:rowOff>
    </xdr:from>
    <xdr:ext cx="1143000" cy="1143000"/>
    <xdr:pic>
      <xdr:nvPicPr>
        <xdr:cNvPr id="876" name="Image_886" descr="Image_886"/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886</xdr:row>
      <xdr:rowOff>95250</xdr:rowOff>
    </xdr:from>
    <xdr:ext cx="1143000" cy="1143000"/>
    <xdr:pic>
      <xdr:nvPicPr>
        <xdr:cNvPr id="877" name="Image_887" descr="Image_887"/>
        <xdr:cNvPicPr>
          <a:picLocks noChangeAspect="1"/>
        </xdr:cNvPicPr>
      </xdr:nvPicPr>
      <xdr:blipFill>
        <a:blip xmlns:r="http://schemas.openxmlformats.org/officeDocument/2006/relationships" r:embed="rId8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887</xdr:row>
      <xdr:rowOff>95250</xdr:rowOff>
    </xdr:from>
    <xdr:ext cx="1143000" cy="1143000"/>
    <xdr:pic>
      <xdr:nvPicPr>
        <xdr:cNvPr id="878" name="Image_888" descr="Image_888"/>
        <xdr:cNvPicPr>
          <a:picLocks noChangeAspect="1"/>
        </xdr:cNvPicPr>
      </xdr:nvPicPr>
      <xdr:blipFill>
        <a:blip xmlns:r="http://schemas.openxmlformats.org/officeDocument/2006/relationships" r:embed="rId8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888</xdr:row>
      <xdr:rowOff>95250</xdr:rowOff>
    </xdr:from>
    <xdr:ext cx="1143000" cy="1143000"/>
    <xdr:pic>
      <xdr:nvPicPr>
        <xdr:cNvPr id="879" name="Image_889" descr="Image_889"/>
        <xdr:cNvPicPr>
          <a:picLocks noChangeAspect="1"/>
        </xdr:cNvPicPr>
      </xdr:nvPicPr>
      <xdr:blipFill>
        <a:blip xmlns:r="http://schemas.openxmlformats.org/officeDocument/2006/relationships" r:embed="rId8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889</xdr:row>
      <xdr:rowOff>95250</xdr:rowOff>
    </xdr:from>
    <xdr:ext cx="1143000" cy="1143000"/>
    <xdr:pic>
      <xdr:nvPicPr>
        <xdr:cNvPr id="880" name="Image_890" descr="Image_890"/>
        <xdr:cNvPicPr>
          <a:picLocks noChangeAspect="1"/>
        </xdr:cNvPicPr>
      </xdr:nvPicPr>
      <xdr:blipFill>
        <a:blip xmlns:r="http://schemas.openxmlformats.org/officeDocument/2006/relationships" r:embed="rId8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890</xdr:row>
      <xdr:rowOff>95250</xdr:rowOff>
    </xdr:from>
    <xdr:ext cx="1143000" cy="1143000"/>
    <xdr:pic>
      <xdr:nvPicPr>
        <xdr:cNvPr id="881" name="Image_891" descr="Image_891"/>
        <xdr:cNvPicPr>
          <a:picLocks noChangeAspect="1"/>
        </xdr:cNvPicPr>
      </xdr:nvPicPr>
      <xdr:blipFill>
        <a:blip xmlns:r="http://schemas.openxmlformats.org/officeDocument/2006/relationships" r:embed="rId8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891</xdr:row>
      <xdr:rowOff>95250</xdr:rowOff>
    </xdr:from>
    <xdr:ext cx="1143000" cy="1143000"/>
    <xdr:pic>
      <xdr:nvPicPr>
        <xdr:cNvPr id="882" name="Image_892" descr="Image_892"/>
        <xdr:cNvPicPr>
          <a:picLocks noChangeAspect="1"/>
        </xdr:cNvPicPr>
      </xdr:nvPicPr>
      <xdr:blipFill>
        <a:blip xmlns:r="http://schemas.openxmlformats.org/officeDocument/2006/relationships" r:embed="rId8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892</xdr:row>
      <xdr:rowOff>95250</xdr:rowOff>
    </xdr:from>
    <xdr:ext cx="1143000" cy="1143000"/>
    <xdr:pic>
      <xdr:nvPicPr>
        <xdr:cNvPr id="883" name="Image_893" descr="Image_893"/>
        <xdr:cNvPicPr>
          <a:picLocks noChangeAspect="1"/>
        </xdr:cNvPicPr>
      </xdr:nvPicPr>
      <xdr:blipFill>
        <a:blip xmlns:r="http://schemas.openxmlformats.org/officeDocument/2006/relationships" r:embed="rId8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893</xdr:row>
      <xdr:rowOff>95250</xdr:rowOff>
    </xdr:from>
    <xdr:ext cx="1143000" cy="1143000"/>
    <xdr:pic>
      <xdr:nvPicPr>
        <xdr:cNvPr id="884" name="Image_894" descr="Image_894"/>
        <xdr:cNvPicPr>
          <a:picLocks noChangeAspect="1"/>
        </xdr:cNvPicPr>
      </xdr:nvPicPr>
      <xdr:blipFill>
        <a:blip xmlns:r="http://schemas.openxmlformats.org/officeDocument/2006/relationships" r:embed="rId8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894</xdr:row>
      <xdr:rowOff>95250</xdr:rowOff>
    </xdr:from>
    <xdr:ext cx="1143000" cy="1143000"/>
    <xdr:pic>
      <xdr:nvPicPr>
        <xdr:cNvPr id="885" name="Image_895" descr="Image_895"/>
        <xdr:cNvPicPr>
          <a:picLocks noChangeAspect="1"/>
        </xdr:cNvPicPr>
      </xdr:nvPicPr>
      <xdr:blipFill>
        <a:blip xmlns:r="http://schemas.openxmlformats.org/officeDocument/2006/relationships" r:embed="rId8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895</xdr:row>
      <xdr:rowOff>95250</xdr:rowOff>
    </xdr:from>
    <xdr:ext cx="1143000" cy="1143000"/>
    <xdr:pic>
      <xdr:nvPicPr>
        <xdr:cNvPr id="886" name="Image_896" descr="Image_896"/>
        <xdr:cNvPicPr>
          <a:picLocks noChangeAspect="1"/>
        </xdr:cNvPicPr>
      </xdr:nvPicPr>
      <xdr:blipFill>
        <a:blip xmlns:r="http://schemas.openxmlformats.org/officeDocument/2006/relationships" r:embed="rId8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896</xdr:row>
      <xdr:rowOff>95250</xdr:rowOff>
    </xdr:from>
    <xdr:ext cx="1143000" cy="1143000"/>
    <xdr:pic>
      <xdr:nvPicPr>
        <xdr:cNvPr id="887" name="Image_897" descr="Image_897"/>
        <xdr:cNvPicPr>
          <a:picLocks noChangeAspect="1"/>
        </xdr:cNvPicPr>
      </xdr:nvPicPr>
      <xdr:blipFill>
        <a:blip xmlns:r="http://schemas.openxmlformats.org/officeDocument/2006/relationships" r:embed="rId8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897</xdr:row>
      <xdr:rowOff>95250</xdr:rowOff>
    </xdr:from>
    <xdr:ext cx="1143000" cy="1143000"/>
    <xdr:pic>
      <xdr:nvPicPr>
        <xdr:cNvPr id="888" name="Image_898" descr="Image_898"/>
        <xdr:cNvPicPr>
          <a:picLocks noChangeAspect="1"/>
        </xdr:cNvPicPr>
      </xdr:nvPicPr>
      <xdr:blipFill>
        <a:blip xmlns:r="http://schemas.openxmlformats.org/officeDocument/2006/relationships" r:embed="rId8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898</xdr:row>
      <xdr:rowOff>95250</xdr:rowOff>
    </xdr:from>
    <xdr:ext cx="1143000" cy="1143000"/>
    <xdr:pic>
      <xdr:nvPicPr>
        <xdr:cNvPr id="889" name="Image_899" descr="Image_899"/>
        <xdr:cNvPicPr>
          <a:picLocks noChangeAspect="1"/>
        </xdr:cNvPicPr>
      </xdr:nvPicPr>
      <xdr:blipFill>
        <a:blip xmlns:r="http://schemas.openxmlformats.org/officeDocument/2006/relationships" r:embed="rId8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899</xdr:row>
      <xdr:rowOff>95250</xdr:rowOff>
    </xdr:from>
    <xdr:ext cx="1143000" cy="1143000"/>
    <xdr:pic>
      <xdr:nvPicPr>
        <xdr:cNvPr id="890" name="Image_900" descr="Image_900"/>
        <xdr:cNvPicPr>
          <a:picLocks noChangeAspect="1"/>
        </xdr:cNvPicPr>
      </xdr:nvPicPr>
      <xdr:blipFill>
        <a:blip xmlns:r="http://schemas.openxmlformats.org/officeDocument/2006/relationships" r:embed="rId8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900</xdr:row>
      <xdr:rowOff>95250</xdr:rowOff>
    </xdr:from>
    <xdr:ext cx="1143000" cy="1143000"/>
    <xdr:pic>
      <xdr:nvPicPr>
        <xdr:cNvPr id="891" name="Image_901" descr="Image_901"/>
        <xdr:cNvPicPr>
          <a:picLocks noChangeAspect="1"/>
        </xdr:cNvPicPr>
      </xdr:nvPicPr>
      <xdr:blipFill>
        <a:blip xmlns:r="http://schemas.openxmlformats.org/officeDocument/2006/relationships" r:embed="rId8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901</xdr:row>
      <xdr:rowOff>95250</xdr:rowOff>
    </xdr:from>
    <xdr:ext cx="1143000" cy="1143000"/>
    <xdr:pic>
      <xdr:nvPicPr>
        <xdr:cNvPr id="892" name="Image_902" descr="Image_902"/>
        <xdr:cNvPicPr>
          <a:picLocks noChangeAspect="1"/>
        </xdr:cNvPicPr>
      </xdr:nvPicPr>
      <xdr:blipFill>
        <a:blip xmlns:r="http://schemas.openxmlformats.org/officeDocument/2006/relationships" r:embed="rId8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902</xdr:row>
      <xdr:rowOff>95250</xdr:rowOff>
    </xdr:from>
    <xdr:ext cx="1143000" cy="1143000"/>
    <xdr:pic>
      <xdr:nvPicPr>
        <xdr:cNvPr id="893" name="Image_903" descr="Image_903"/>
        <xdr:cNvPicPr>
          <a:picLocks noChangeAspect="1"/>
        </xdr:cNvPicPr>
      </xdr:nvPicPr>
      <xdr:blipFill>
        <a:blip xmlns:r="http://schemas.openxmlformats.org/officeDocument/2006/relationships" r:embed="rId8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903</xdr:row>
      <xdr:rowOff>95250</xdr:rowOff>
    </xdr:from>
    <xdr:ext cx="1143000" cy="1143000"/>
    <xdr:pic>
      <xdr:nvPicPr>
        <xdr:cNvPr id="894" name="Image_904" descr="Image_904"/>
        <xdr:cNvPicPr>
          <a:picLocks noChangeAspect="1"/>
        </xdr:cNvPicPr>
      </xdr:nvPicPr>
      <xdr:blipFill>
        <a:blip xmlns:r="http://schemas.openxmlformats.org/officeDocument/2006/relationships" r:embed="rId8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904</xdr:row>
      <xdr:rowOff>95250</xdr:rowOff>
    </xdr:from>
    <xdr:ext cx="1143000" cy="1143000"/>
    <xdr:pic>
      <xdr:nvPicPr>
        <xdr:cNvPr id="895" name="Image_905" descr="Image_905"/>
        <xdr:cNvPicPr>
          <a:picLocks noChangeAspect="1"/>
        </xdr:cNvPicPr>
      </xdr:nvPicPr>
      <xdr:blipFill>
        <a:blip xmlns:r="http://schemas.openxmlformats.org/officeDocument/2006/relationships" r:embed="rId8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905</xdr:row>
      <xdr:rowOff>95250</xdr:rowOff>
    </xdr:from>
    <xdr:ext cx="1143000" cy="1143000"/>
    <xdr:pic>
      <xdr:nvPicPr>
        <xdr:cNvPr id="896" name="Image_906" descr="Image_906"/>
        <xdr:cNvPicPr>
          <a:picLocks noChangeAspect="1"/>
        </xdr:cNvPicPr>
      </xdr:nvPicPr>
      <xdr:blipFill>
        <a:blip xmlns:r="http://schemas.openxmlformats.org/officeDocument/2006/relationships" r:embed="rId8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906</xdr:row>
      <xdr:rowOff>95250</xdr:rowOff>
    </xdr:from>
    <xdr:ext cx="1143000" cy="1143000"/>
    <xdr:pic>
      <xdr:nvPicPr>
        <xdr:cNvPr id="897" name="Image_907" descr="Image_907"/>
        <xdr:cNvPicPr>
          <a:picLocks noChangeAspect="1"/>
        </xdr:cNvPicPr>
      </xdr:nvPicPr>
      <xdr:blipFill>
        <a:blip xmlns:r="http://schemas.openxmlformats.org/officeDocument/2006/relationships" r:embed="rId8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907</xdr:row>
      <xdr:rowOff>95250</xdr:rowOff>
    </xdr:from>
    <xdr:ext cx="1143000" cy="1143000"/>
    <xdr:pic>
      <xdr:nvPicPr>
        <xdr:cNvPr id="898" name="Image_908" descr="Image_908"/>
        <xdr:cNvPicPr>
          <a:picLocks noChangeAspect="1"/>
        </xdr:cNvPicPr>
      </xdr:nvPicPr>
      <xdr:blipFill>
        <a:blip xmlns:r="http://schemas.openxmlformats.org/officeDocument/2006/relationships" r:embed="rId8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908</xdr:row>
      <xdr:rowOff>95250</xdr:rowOff>
    </xdr:from>
    <xdr:ext cx="1143000" cy="1143000"/>
    <xdr:pic>
      <xdr:nvPicPr>
        <xdr:cNvPr id="899" name="Image_909" descr="Image_909"/>
        <xdr:cNvPicPr>
          <a:picLocks noChangeAspect="1"/>
        </xdr:cNvPicPr>
      </xdr:nvPicPr>
      <xdr:blipFill>
        <a:blip xmlns:r="http://schemas.openxmlformats.org/officeDocument/2006/relationships" r:embed="rId8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909</xdr:row>
      <xdr:rowOff>95250</xdr:rowOff>
    </xdr:from>
    <xdr:ext cx="1143000" cy="1143000"/>
    <xdr:pic>
      <xdr:nvPicPr>
        <xdr:cNvPr id="900" name="Image_910" descr="Image_910"/>
        <xdr:cNvPicPr>
          <a:picLocks noChangeAspect="1"/>
        </xdr:cNvPicPr>
      </xdr:nvPicPr>
      <xdr:blipFill>
        <a:blip xmlns:r="http://schemas.openxmlformats.org/officeDocument/2006/relationships" r:embed="rId9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910</xdr:row>
      <xdr:rowOff>95250</xdr:rowOff>
    </xdr:from>
    <xdr:ext cx="1143000" cy="1143000"/>
    <xdr:pic>
      <xdr:nvPicPr>
        <xdr:cNvPr id="901" name="Image_911" descr="Image_911"/>
        <xdr:cNvPicPr>
          <a:picLocks noChangeAspect="1"/>
        </xdr:cNvPicPr>
      </xdr:nvPicPr>
      <xdr:blipFill>
        <a:blip xmlns:r="http://schemas.openxmlformats.org/officeDocument/2006/relationships" r:embed="rId9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911</xdr:row>
      <xdr:rowOff>95250</xdr:rowOff>
    </xdr:from>
    <xdr:ext cx="1143000" cy="1143000"/>
    <xdr:pic>
      <xdr:nvPicPr>
        <xdr:cNvPr id="902" name="Image_912" descr="Image_912"/>
        <xdr:cNvPicPr>
          <a:picLocks noChangeAspect="1"/>
        </xdr:cNvPicPr>
      </xdr:nvPicPr>
      <xdr:blipFill>
        <a:blip xmlns:r="http://schemas.openxmlformats.org/officeDocument/2006/relationships" r:embed="rId9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912</xdr:row>
      <xdr:rowOff>95250</xdr:rowOff>
    </xdr:from>
    <xdr:ext cx="1143000" cy="1143000"/>
    <xdr:pic>
      <xdr:nvPicPr>
        <xdr:cNvPr id="903" name="Image_913" descr="Image_913"/>
        <xdr:cNvPicPr>
          <a:picLocks noChangeAspect="1"/>
        </xdr:cNvPicPr>
      </xdr:nvPicPr>
      <xdr:blipFill>
        <a:blip xmlns:r="http://schemas.openxmlformats.org/officeDocument/2006/relationships" r:embed="rId9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913</xdr:row>
      <xdr:rowOff>95250</xdr:rowOff>
    </xdr:from>
    <xdr:ext cx="1143000" cy="1143000"/>
    <xdr:pic>
      <xdr:nvPicPr>
        <xdr:cNvPr id="904" name="Image_914" descr="Image_914"/>
        <xdr:cNvPicPr>
          <a:picLocks noChangeAspect="1"/>
        </xdr:cNvPicPr>
      </xdr:nvPicPr>
      <xdr:blipFill>
        <a:blip xmlns:r="http://schemas.openxmlformats.org/officeDocument/2006/relationships" r:embed="rId9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914</xdr:row>
      <xdr:rowOff>95250</xdr:rowOff>
    </xdr:from>
    <xdr:ext cx="1143000" cy="1143000"/>
    <xdr:pic>
      <xdr:nvPicPr>
        <xdr:cNvPr id="905" name="Image_915" descr="Image_915"/>
        <xdr:cNvPicPr>
          <a:picLocks noChangeAspect="1"/>
        </xdr:cNvPicPr>
      </xdr:nvPicPr>
      <xdr:blipFill>
        <a:blip xmlns:r="http://schemas.openxmlformats.org/officeDocument/2006/relationships" r:embed="rId9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915</xdr:row>
      <xdr:rowOff>95250</xdr:rowOff>
    </xdr:from>
    <xdr:ext cx="1143000" cy="1143000"/>
    <xdr:pic>
      <xdr:nvPicPr>
        <xdr:cNvPr id="906" name="Image_916" descr="Image_916"/>
        <xdr:cNvPicPr>
          <a:picLocks noChangeAspect="1"/>
        </xdr:cNvPicPr>
      </xdr:nvPicPr>
      <xdr:blipFill>
        <a:blip xmlns:r="http://schemas.openxmlformats.org/officeDocument/2006/relationships" r:embed="rId9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916</xdr:row>
      <xdr:rowOff>95250</xdr:rowOff>
    </xdr:from>
    <xdr:ext cx="1143000" cy="1143000"/>
    <xdr:pic>
      <xdr:nvPicPr>
        <xdr:cNvPr id="907" name="Image_917" descr="Image_917"/>
        <xdr:cNvPicPr>
          <a:picLocks noChangeAspect="1"/>
        </xdr:cNvPicPr>
      </xdr:nvPicPr>
      <xdr:blipFill>
        <a:blip xmlns:r="http://schemas.openxmlformats.org/officeDocument/2006/relationships" r:embed="rId9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917</xdr:row>
      <xdr:rowOff>95250</xdr:rowOff>
    </xdr:from>
    <xdr:ext cx="1143000" cy="1143000"/>
    <xdr:pic>
      <xdr:nvPicPr>
        <xdr:cNvPr id="908" name="Image_918" descr="Image_918"/>
        <xdr:cNvPicPr>
          <a:picLocks noChangeAspect="1"/>
        </xdr:cNvPicPr>
      </xdr:nvPicPr>
      <xdr:blipFill>
        <a:blip xmlns:r="http://schemas.openxmlformats.org/officeDocument/2006/relationships" r:embed="rId9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918</xdr:row>
      <xdr:rowOff>95250</xdr:rowOff>
    </xdr:from>
    <xdr:ext cx="1143000" cy="1143000"/>
    <xdr:pic>
      <xdr:nvPicPr>
        <xdr:cNvPr id="909" name="Image_919" descr="Image_919"/>
        <xdr:cNvPicPr>
          <a:picLocks noChangeAspect="1"/>
        </xdr:cNvPicPr>
      </xdr:nvPicPr>
      <xdr:blipFill>
        <a:blip xmlns:r="http://schemas.openxmlformats.org/officeDocument/2006/relationships" r:embed="rId9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919</xdr:row>
      <xdr:rowOff>95250</xdr:rowOff>
    </xdr:from>
    <xdr:ext cx="1143000" cy="1143000"/>
    <xdr:pic>
      <xdr:nvPicPr>
        <xdr:cNvPr id="910" name="Image_920" descr="Image_920"/>
        <xdr:cNvPicPr>
          <a:picLocks noChangeAspect="1"/>
        </xdr:cNvPicPr>
      </xdr:nvPicPr>
      <xdr:blipFill>
        <a:blip xmlns:r="http://schemas.openxmlformats.org/officeDocument/2006/relationships" r:embed="rId9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920</xdr:row>
      <xdr:rowOff>95250</xdr:rowOff>
    </xdr:from>
    <xdr:ext cx="1143000" cy="1143000"/>
    <xdr:pic>
      <xdr:nvPicPr>
        <xdr:cNvPr id="911" name="Image_921" descr="Image_921"/>
        <xdr:cNvPicPr>
          <a:picLocks noChangeAspect="1"/>
        </xdr:cNvPicPr>
      </xdr:nvPicPr>
      <xdr:blipFill>
        <a:blip xmlns:r="http://schemas.openxmlformats.org/officeDocument/2006/relationships" r:embed="rId9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921</xdr:row>
      <xdr:rowOff>95250</xdr:rowOff>
    </xdr:from>
    <xdr:ext cx="1143000" cy="1143000"/>
    <xdr:pic>
      <xdr:nvPicPr>
        <xdr:cNvPr id="912" name="Image_922" descr="Image_922"/>
        <xdr:cNvPicPr>
          <a:picLocks noChangeAspect="1"/>
        </xdr:cNvPicPr>
      </xdr:nvPicPr>
      <xdr:blipFill>
        <a:blip xmlns:r="http://schemas.openxmlformats.org/officeDocument/2006/relationships" r:embed="rId9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922</xdr:row>
      <xdr:rowOff>95250</xdr:rowOff>
    </xdr:from>
    <xdr:ext cx="1143000" cy="1143000"/>
    <xdr:pic>
      <xdr:nvPicPr>
        <xdr:cNvPr id="913" name="Image_923" descr="Image_923"/>
        <xdr:cNvPicPr>
          <a:picLocks noChangeAspect="1"/>
        </xdr:cNvPicPr>
      </xdr:nvPicPr>
      <xdr:blipFill>
        <a:blip xmlns:r="http://schemas.openxmlformats.org/officeDocument/2006/relationships" r:embed="rId9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923</xdr:row>
      <xdr:rowOff>95250</xdr:rowOff>
    </xdr:from>
    <xdr:ext cx="1143000" cy="1143000"/>
    <xdr:pic>
      <xdr:nvPicPr>
        <xdr:cNvPr id="914" name="Image_924" descr="Image_924"/>
        <xdr:cNvPicPr>
          <a:picLocks noChangeAspect="1"/>
        </xdr:cNvPicPr>
      </xdr:nvPicPr>
      <xdr:blipFill>
        <a:blip xmlns:r="http://schemas.openxmlformats.org/officeDocument/2006/relationships" r:embed="rId9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924</xdr:row>
      <xdr:rowOff>95250</xdr:rowOff>
    </xdr:from>
    <xdr:ext cx="1143000" cy="1143000"/>
    <xdr:pic>
      <xdr:nvPicPr>
        <xdr:cNvPr id="915" name="Image_925" descr="Image_925"/>
        <xdr:cNvPicPr>
          <a:picLocks noChangeAspect="1"/>
        </xdr:cNvPicPr>
      </xdr:nvPicPr>
      <xdr:blipFill>
        <a:blip xmlns:r="http://schemas.openxmlformats.org/officeDocument/2006/relationships" r:embed="rId9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925</xdr:row>
      <xdr:rowOff>95250</xdr:rowOff>
    </xdr:from>
    <xdr:ext cx="1143000" cy="1143000"/>
    <xdr:pic>
      <xdr:nvPicPr>
        <xdr:cNvPr id="916" name="Image_926" descr="Image_926"/>
        <xdr:cNvPicPr>
          <a:picLocks noChangeAspect="1"/>
        </xdr:cNvPicPr>
      </xdr:nvPicPr>
      <xdr:blipFill>
        <a:blip xmlns:r="http://schemas.openxmlformats.org/officeDocument/2006/relationships" r:embed="rId9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926</xdr:row>
      <xdr:rowOff>95250</xdr:rowOff>
    </xdr:from>
    <xdr:ext cx="1143000" cy="1143000"/>
    <xdr:pic>
      <xdr:nvPicPr>
        <xdr:cNvPr id="917" name="Image_927" descr="Image_927"/>
        <xdr:cNvPicPr>
          <a:picLocks noChangeAspect="1"/>
        </xdr:cNvPicPr>
      </xdr:nvPicPr>
      <xdr:blipFill>
        <a:blip xmlns:r="http://schemas.openxmlformats.org/officeDocument/2006/relationships" r:embed="rId9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927</xdr:row>
      <xdr:rowOff>95250</xdr:rowOff>
    </xdr:from>
    <xdr:ext cx="1143000" cy="1143000"/>
    <xdr:pic>
      <xdr:nvPicPr>
        <xdr:cNvPr id="918" name="Image_928" descr="Image_928"/>
        <xdr:cNvPicPr>
          <a:picLocks noChangeAspect="1"/>
        </xdr:cNvPicPr>
      </xdr:nvPicPr>
      <xdr:blipFill>
        <a:blip xmlns:r="http://schemas.openxmlformats.org/officeDocument/2006/relationships" r:embed="rId9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928</xdr:row>
      <xdr:rowOff>95250</xdr:rowOff>
    </xdr:from>
    <xdr:ext cx="1143000" cy="1143000"/>
    <xdr:pic>
      <xdr:nvPicPr>
        <xdr:cNvPr id="919" name="Image_929" descr="Image_929"/>
        <xdr:cNvPicPr>
          <a:picLocks noChangeAspect="1"/>
        </xdr:cNvPicPr>
      </xdr:nvPicPr>
      <xdr:blipFill>
        <a:blip xmlns:r="http://schemas.openxmlformats.org/officeDocument/2006/relationships" r:embed="rId9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929</xdr:row>
      <xdr:rowOff>95250</xdr:rowOff>
    </xdr:from>
    <xdr:ext cx="1143000" cy="1143000"/>
    <xdr:pic>
      <xdr:nvPicPr>
        <xdr:cNvPr id="920" name="Image_930" descr="Image_930"/>
        <xdr:cNvPicPr>
          <a:picLocks noChangeAspect="1"/>
        </xdr:cNvPicPr>
      </xdr:nvPicPr>
      <xdr:blipFill>
        <a:blip xmlns:r="http://schemas.openxmlformats.org/officeDocument/2006/relationships" r:embed="rId9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930</xdr:row>
      <xdr:rowOff>95250</xdr:rowOff>
    </xdr:from>
    <xdr:ext cx="1143000" cy="1143000"/>
    <xdr:pic>
      <xdr:nvPicPr>
        <xdr:cNvPr id="921" name="Image_931" descr="Image_931"/>
        <xdr:cNvPicPr>
          <a:picLocks noChangeAspect="1"/>
        </xdr:cNvPicPr>
      </xdr:nvPicPr>
      <xdr:blipFill>
        <a:blip xmlns:r="http://schemas.openxmlformats.org/officeDocument/2006/relationships" r:embed="rId9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931</xdr:row>
      <xdr:rowOff>95250</xdr:rowOff>
    </xdr:from>
    <xdr:ext cx="1143000" cy="1143000"/>
    <xdr:pic>
      <xdr:nvPicPr>
        <xdr:cNvPr id="922" name="Image_932" descr="Image_932"/>
        <xdr:cNvPicPr>
          <a:picLocks noChangeAspect="1"/>
        </xdr:cNvPicPr>
      </xdr:nvPicPr>
      <xdr:blipFill>
        <a:blip xmlns:r="http://schemas.openxmlformats.org/officeDocument/2006/relationships" r:embed="rId9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932</xdr:row>
      <xdr:rowOff>95250</xdr:rowOff>
    </xdr:from>
    <xdr:ext cx="1143000" cy="1143000"/>
    <xdr:pic>
      <xdr:nvPicPr>
        <xdr:cNvPr id="923" name="Image_933" descr="Image_933"/>
        <xdr:cNvPicPr>
          <a:picLocks noChangeAspect="1"/>
        </xdr:cNvPicPr>
      </xdr:nvPicPr>
      <xdr:blipFill>
        <a:blip xmlns:r="http://schemas.openxmlformats.org/officeDocument/2006/relationships" r:embed="rId9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933</xdr:row>
      <xdr:rowOff>95250</xdr:rowOff>
    </xdr:from>
    <xdr:ext cx="1143000" cy="1143000"/>
    <xdr:pic>
      <xdr:nvPicPr>
        <xdr:cNvPr id="924" name="Image_934" descr="Image_934"/>
        <xdr:cNvPicPr>
          <a:picLocks noChangeAspect="1"/>
        </xdr:cNvPicPr>
      </xdr:nvPicPr>
      <xdr:blipFill>
        <a:blip xmlns:r="http://schemas.openxmlformats.org/officeDocument/2006/relationships" r:embed="rId9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934</xdr:row>
      <xdr:rowOff>95250</xdr:rowOff>
    </xdr:from>
    <xdr:ext cx="1143000" cy="1143000"/>
    <xdr:pic>
      <xdr:nvPicPr>
        <xdr:cNvPr id="925" name="Image_935" descr="Image_935"/>
        <xdr:cNvPicPr>
          <a:picLocks noChangeAspect="1"/>
        </xdr:cNvPicPr>
      </xdr:nvPicPr>
      <xdr:blipFill>
        <a:blip xmlns:r="http://schemas.openxmlformats.org/officeDocument/2006/relationships" r:embed="rId9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935</xdr:row>
      <xdr:rowOff>95250</xdr:rowOff>
    </xdr:from>
    <xdr:ext cx="1143000" cy="1143000"/>
    <xdr:pic>
      <xdr:nvPicPr>
        <xdr:cNvPr id="926" name="Image_936" descr="Image_936"/>
        <xdr:cNvPicPr>
          <a:picLocks noChangeAspect="1"/>
        </xdr:cNvPicPr>
      </xdr:nvPicPr>
      <xdr:blipFill>
        <a:blip xmlns:r="http://schemas.openxmlformats.org/officeDocument/2006/relationships" r:embed="rId9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936</xdr:row>
      <xdr:rowOff>95250</xdr:rowOff>
    </xdr:from>
    <xdr:ext cx="1143000" cy="1143000"/>
    <xdr:pic>
      <xdr:nvPicPr>
        <xdr:cNvPr id="927" name="Image_937" descr="Image_937"/>
        <xdr:cNvPicPr>
          <a:picLocks noChangeAspect="1"/>
        </xdr:cNvPicPr>
      </xdr:nvPicPr>
      <xdr:blipFill>
        <a:blip xmlns:r="http://schemas.openxmlformats.org/officeDocument/2006/relationships" r:embed="rId9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937</xdr:row>
      <xdr:rowOff>95250</xdr:rowOff>
    </xdr:from>
    <xdr:ext cx="1143000" cy="1143000"/>
    <xdr:pic>
      <xdr:nvPicPr>
        <xdr:cNvPr id="928" name="Image_938" descr="Image_938"/>
        <xdr:cNvPicPr>
          <a:picLocks noChangeAspect="1"/>
        </xdr:cNvPicPr>
      </xdr:nvPicPr>
      <xdr:blipFill>
        <a:blip xmlns:r="http://schemas.openxmlformats.org/officeDocument/2006/relationships" r:embed="rId9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938</xdr:row>
      <xdr:rowOff>95250</xdr:rowOff>
    </xdr:from>
    <xdr:ext cx="1143000" cy="1143000"/>
    <xdr:pic>
      <xdr:nvPicPr>
        <xdr:cNvPr id="929" name="Image_939" descr="Image_939"/>
        <xdr:cNvPicPr>
          <a:picLocks noChangeAspect="1"/>
        </xdr:cNvPicPr>
      </xdr:nvPicPr>
      <xdr:blipFill>
        <a:blip xmlns:r="http://schemas.openxmlformats.org/officeDocument/2006/relationships" r:embed="rId9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939</xdr:row>
      <xdr:rowOff>95250</xdr:rowOff>
    </xdr:from>
    <xdr:ext cx="1143000" cy="1143000"/>
    <xdr:pic>
      <xdr:nvPicPr>
        <xdr:cNvPr id="930" name="Image_940" descr="Image_940"/>
        <xdr:cNvPicPr>
          <a:picLocks noChangeAspect="1"/>
        </xdr:cNvPicPr>
      </xdr:nvPicPr>
      <xdr:blipFill>
        <a:blip xmlns:r="http://schemas.openxmlformats.org/officeDocument/2006/relationships" r:embed="rId9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940</xdr:row>
      <xdr:rowOff>95250</xdr:rowOff>
    </xdr:from>
    <xdr:ext cx="1143000" cy="1143000"/>
    <xdr:pic>
      <xdr:nvPicPr>
        <xdr:cNvPr id="931" name="Image_941" descr="Image_941"/>
        <xdr:cNvPicPr>
          <a:picLocks noChangeAspect="1"/>
        </xdr:cNvPicPr>
      </xdr:nvPicPr>
      <xdr:blipFill>
        <a:blip xmlns:r="http://schemas.openxmlformats.org/officeDocument/2006/relationships" r:embed="rId9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941</xdr:row>
      <xdr:rowOff>95250</xdr:rowOff>
    </xdr:from>
    <xdr:ext cx="1143000" cy="1143000"/>
    <xdr:pic>
      <xdr:nvPicPr>
        <xdr:cNvPr id="932" name="Image_942" descr="Image_942"/>
        <xdr:cNvPicPr>
          <a:picLocks noChangeAspect="1"/>
        </xdr:cNvPicPr>
      </xdr:nvPicPr>
      <xdr:blipFill>
        <a:blip xmlns:r="http://schemas.openxmlformats.org/officeDocument/2006/relationships" r:embed="rId9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942</xdr:row>
      <xdr:rowOff>95250</xdr:rowOff>
    </xdr:from>
    <xdr:ext cx="1143000" cy="1143000"/>
    <xdr:pic>
      <xdr:nvPicPr>
        <xdr:cNvPr id="933" name="Image_943" descr="Image_943"/>
        <xdr:cNvPicPr>
          <a:picLocks noChangeAspect="1"/>
        </xdr:cNvPicPr>
      </xdr:nvPicPr>
      <xdr:blipFill>
        <a:blip xmlns:r="http://schemas.openxmlformats.org/officeDocument/2006/relationships" r:embed="rId9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943</xdr:row>
      <xdr:rowOff>95250</xdr:rowOff>
    </xdr:from>
    <xdr:ext cx="1143000" cy="1143000"/>
    <xdr:pic>
      <xdr:nvPicPr>
        <xdr:cNvPr id="934" name="Image_944" descr="Image_944"/>
        <xdr:cNvPicPr>
          <a:picLocks noChangeAspect="1"/>
        </xdr:cNvPicPr>
      </xdr:nvPicPr>
      <xdr:blipFill>
        <a:blip xmlns:r="http://schemas.openxmlformats.org/officeDocument/2006/relationships" r:embed="rId9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944</xdr:row>
      <xdr:rowOff>95250</xdr:rowOff>
    </xdr:from>
    <xdr:ext cx="1143000" cy="1143000"/>
    <xdr:pic>
      <xdr:nvPicPr>
        <xdr:cNvPr id="935" name="Image_945" descr="Image_945"/>
        <xdr:cNvPicPr>
          <a:picLocks noChangeAspect="1"/>
        </xdr:cNvPicPr>
      </xdr:nvPicPr>
      <xdr:blipFill>
        <a:blip xmlns:r="http://schemas.openxmlformats.org/officeDocument/2006/relationships" r:embed="rId9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945</xdr:row>
      <xdr:rowOff>95250</xdr:rowOff>
    </xdr:from>
    <xdr:ext cx="1143000" cy="1143000"/>
    <xdr:pic>
      <xdr:nvPicPr>
        <xdr:cNvPr id="936" name="Image_946" descr="Image_946"/>
        <xdr:cNvPicPr>
          <a:picLocks noChangeAspect="1"/>
        </xdr:cNvPicPr>
      </xdr:nvPicPr>
      <xdr:blipFill>
        <a:blip xmlns:r="http://schemas.openxmlformats.org/officeDocument/2006/relationships" r:embed="rId9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946</xdr:row>
      <xdr:rowOff>95250</xdr:rowOff>
    </xdr:from>
    <xdr:ext cx="1143000" cy="1143000"/>
    <xdr:pic>
      <xdr:nvPicPr>
        <xdr:cNvPr id="937" name="Image_947" descr="Image_947"/>
        <xdr:cNvPicPr>
          <a:picLocks noChangeAspect="1"/>
        </xdr:cNvPicPr>
      </xdr:nvPicPr>
      <xdr:blipFill>
        <a:blip xmlns:r="http://schemas.openxmlformats.org/officeDocument/2006/relationships" r:embed="rId9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947</xdr:row>
      <xdr:rowOff>95250</xdr:rowOff>
    </xdr:from>
    <xdr:ext cx="1143000" cy="1143000"/>
    <xdr:pic>
      <xdr:nvPicPr>
        <xdr:cNvPr id="938" name="Image_948" descr="Image_948"/>
        <xdr:cNvPicPr>
          <a:picLocks noChangeAspect="1"/>
        </xdr:cNvPicPr>
      </xdr:nvPicPr>
      <xdr:blipFill>
        <a:blip xmlns:r="http://schemas.openxmlformats.org/officeDocument/2006/relationships" r:embed="rId9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948</xdr:row>
      <xdr:rowOff>95250</xdr:rowOff>
    </xdr:from>
    <xdr:ext cx="1143000" cy="1143000"/>
    <xdr:pic>
      <xdr:nvPicPr>
        <xdr:cNvPr id="939" name="Image_949" descr="Image_949"/>
        <xdr:cNvPicPr>
          <a:picLocks noChangeAspect="1"/>
        </xdr:cNvPicPr>
      </xdr:nvPicPr>
      <xdr:blipFill>
        <a:blip xmlns:r="http://schemas.openxmlformats.org/officeDocument/2006/relationships" r:embed="rId9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949</xdr:row>
      <xdr:rowOff>95250</xdr:rowOff>
    </xdr:from>
    <xdr:ext cx="1143000" cy="1143000"/>
    <xdr:pic>
      <xdr:nvPicPr>
        <xdr:cNvPr id="940" name="Image_950" descr="Image_950"/>
        <xdr:cNvPicPr>
          <a:picLocks noChangeAspect="1"/>
        </xdr:cNvPicPr>
      </xdr:nvPicPr>
      <xdr:blipFill>
        <a:blip xmlns:r="http://schemas.openxmlformats.org/officeDocument/2006/relationships" r:embed="rId9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950</xdr:row>
      <xdr:rowOff>95250</xdr:rowOff>
    </xdr:from>
    <xdr:ext cx="1143000" cy="1143000"/>
    <xdr:pic>
      <xdr:nvPicPr>
        <xdr:cNvPr id="941" name="Image_951" descr="Image_951"/>
        <xdr:cNvPicPr>
          <a:picLocks noChangeAspect="1"/>
        </xdr:cNvPicPr>
      </xdr:nvPicPr>
      <xdr:blipFill>
        <a:blip xmlns:r="http://schemas.openxmlformats.org/officeDocument/2006/relationships" r:embed="rId9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951</xdr:row>
      <xdr:rowOff>95250</xdr:rowOff>
    </xdr:from>
    <xdr:ext cx="1143000" cy="1143000"/>
    <xdr:pic>
      <xdr:nvPicPr>
        <xdr:cNvPr id="942" name="Image_952" descr="Image_952"/>
        <xdr:cNvPicPr>
          <a:picLocks noChangeAspect="1"/>
        </xdr:cNvPicPr>
      </xdr:nvPicPr>
      <xdr:blipFill>
        <a:blip xmlns:r="http://schemas.openxmlformats.org/officeDocument/2006/relationships" r:embed="rId9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952</xdr:row>
      <xdr:rowOff>95250</xdr:rowOff>
    </xdr:from>
    <xdr:ext cx="1143000" cy="1143000"/>
    <xdr:pic>
      <xdr:nvPicPr>
        <xdr:cNvPr id="943" name="Image_953" descr="Image_953"/>
        <xdr:cNvPicPr>
          <a:picLocks noChangeAspect="1"/>
        </xdr:cNvPicPr>
      </xdr:nvPicPr>
      <xdr:blipFill>
        <a:blip xmlns:r="http://schemas.openxmlformats.org/officeDocument/2006/relationships" r:embed="rId9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953</xdr:row>
      <xdr:rowOff>95250</xdr:rowOff>
    </xdr:from>
    <xdr:ext cx="1143000" cy="1143000"/>
    <xdr:pic>
      <xdr:nvPicPr>
        <xdr:cNvPr id="944" name="Image_954" descr="Image_954"/>
        <xdr:cNvPicPr>
          <a:picLocks noChangeAspect="1"/>
        </xdr:cNvPicPr>
      </xdr:nvPicPr>
      <xdr:blipFill>
        <a:blip xmlns:r="http://schemas.openxmlformats.org/officeDocument/2006/relationships" r:embed="rId9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954</xdr:row>
      <xdr:rowOff>95250</xdr:rowOff>
    </xdr:from>
    <xdr:ext cx="1143000" cy="1143000"/>
    <xdr:pic>
      <xdr:nvPicPr>
        <xdr:cNvPr id="945" name="Image_955" descr="Image_955"/>
        <xdr:cNvPicPr>
          <a:picLocks noChangeAspect="1"/>
        </xdr:cNvPicPr>
      </xdr:nvPicPr>
      <xdr:blipFill>
        <a:blip xmlns:r="http://schemas.openxmlformats.org/officeDocument/2006/relationships" r:embed="rId9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955</xdr:row>
      <xdr:rowOff>95250</xdr:rowOff>
    </xdr:from>
    <xdr:ext cx="1143000" cy="1143000"/>
    <xdr:pic>
      <xdr:nvPicPr>
        <xdr:cNvPr id="946" name="Image_956" descr="Image_956"/>
        <xdr:cNvPicPr>
          <a:picLocks noChangeAspect="1"/>
        </xdr:cNvPicPr>
      </xdr:nvPicPr>
      <xdr:blipFill>
        <a:blip xmlns:r="http://schemas.openxmlformats.org/officeDocument/2006/relationships" r:embed="rId9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956</xdr:row>
      <xdr:rowOff>95250</xdr:rowOff>
    </xdr:from>
    <xdr:ext cx="1143000" cy="1143000"/>
    <xdr:pic>
      <xdr:nvPicPr>
        <xdr:cNvPr id="947" name="Image_957" descr="Image_957"/>
        <xdr:cNvPicPr>
          <a:picLocks noChangeAspect="1"/>
        </xdr:cNvPicPr>
      </xdr:nvPicPr>
      <xdr:blipFill>
        <a:blip xmlns:r="http://schemas.openxmlformats.org/officeDocument/2006/relationships" r:embed="rId9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957</xdr:row>
      <xdr:rowOff>95250</xdr:rowOff>
    </xdr:from>
    <xdr:ext cx="1143000" cy="1143000"/>
    <xdr:pic>
      <xdr:nvPicPr>
        <xdr:cNvPr id="948" name="Image_958" descr="Image_958"/>
        <xdr:cNvPicPr>
          <a:picLocks noChangeAspect="1"/>
        </xdr:cNvPicPr>
      </xdr:nvPicPr>
      <xdr:blipFill>
        <a:blip xmlns:r="http://schemas.openxmlformats.org/officeDocument/2006/relationships" r:embed="rId9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958</xdr:row>
      <xdr:rowOff>95250</xdr:rowOff>
    </xdr:from>
    <xdr:ext cx="1143000" cy="1143000"/>
    <xdr:pic>
      <xdr:nvPicPr>
        <xdr:cNvPr id="949" name="Image_959" descr="Image_959"/>
        <xdr:cNvPicPr>
          <a:picLocks noChangeAspect="1"/>
        </xdr:cNvPicPr>
      </xdr:nvPicPr>
      <xdr:blipFill>
        <a:blip xmlns:r="http://schemas.openxmlformats.org/officeDocument/2006/relationships" r:embed="rId9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959</xdr:row>
      <xdr:rowOff>95250</xdr:rowOff>
    </xdr:from>
    <xdr:ext cx="1143000" cy="1143000"/>
    <xdr:pic>
      <xdr:nvPicPr>
        <xdr:cNvPr id="950" name="Image_960" descr="Image_960"/>
        <xdr:cNvPicPr>
          <a:picLocks noChangeAspect="1"/>
        </xdr:cNvPicPr>
      </xdr:nvPicPr>
      <xdr:blipFill>
        <a:blip xmlns:r="http://schemas.openxmlformats.org/officeDocument/2006/relationships" r:embed="rId9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960</xdr:row>
      <xdr:rowOff>95250</xdr:rowOff>
    </xdr:from>
    <xdr:ext cx="1143000" cy="1143000"/>
    <xdr:pic>
      <xdr:nvPicPr>
        <xdr:cNvPr id="951" name="Image_961" descr="Image_961"/>
        <xdr:cNvPicPr>
          <a:picLocks noChangeAspect="1"/>
        </xdr:cNvPicPr>
      </xdr:nvPicPr>
      <xdr:blipFill>
        <a:blip xmlns:r="http://schemas.openxmlformats.org/officeDocument/2006/relationships" r:embed="rId9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961</xdr:row>
      <xdr:rowOff>95250</xdr:rowOff>
    </xdr:from>
    <xdr:ext cx="1143000" cy="1143000"/>
    <xdr:pic>
      <xdr:nvPicPr>
        <xdr:cNvPr id="952" name="Image_962" descr="Image_962"/>
        <xdr:cNvPicPr>
          <a:picLocks noChangeAspect="1"/>
        </xdr:cNvPicPr>
      </xdr:nvPicPr>
      <xdr:blipFill>
        <a:blip xmlns:r="http://schemas.openxmlformats.org/officeDocument/2006/relationships" r:embed="rId9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962</xdr:row>
      <xdr:rowOff>95250</xdr:rowOff>
    </xdr:from>
    <xdr:ext cx="1143000" cy="1143000"/>
    <xdr:pic>
      <xdr:nvPicPr>
        <xdr:cNvPr id="953" name="Image_963" descr="Image_963"/>
        <xdr:cNvPicPr>
          <a:picLocks noChangeAspect="1"/>
        </xdr:cNvPicPr>
      </xdr:nvPicPr>
      <xdr:blipFill>
        <a:blip xmlns:r="http://schemas.openxmlformats.org/officeDocument/2006/relationships" r:embed="rId9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963</xdr:row>
      <xdr:rowOff>95250</xdr:rowOff>
    </xdr:from>
    <xdr:ext cx="1143000" cy="1143000"/>
    <xdr:pic>
      <xdr:nvPicPr>
        <xdr:cNvPr id="954" name="Image_964" descr="Image_964"/>
        <xdr:cNvPicPr>
          <a:picLocks noChangeAspect="1"/>
        </xdr:cNvPicPr>
      </xdr:nvPicPr>
      <xdr:blipFill>
        <a:blip xmlns:r="http://schemas.openxmlformats.org/officeDocument/2006/relationships" r:embed="rId9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964</xdr:row>
      <xdr:rowOff>95250</xdr:rowOff>
    </xdr:from>
    <xdr:ext cx="1143000" cy="1143000"/>
    <xdr:pic>
      <xdr:nvPicPr>
        <xdr:cNvPr id="955" name="Image_965" descr="Image_965"/>
        <xdr:cNvPicPr>
          <a:picLocks noChangeAspect="1"/>
        </xdr:cNvPicPr>
      </xdr:nvPicPr>
      <xdr:blipFill>
        <a:blip xmlns:r="http://schemas.openxmlformats.org/officeDocument/2006/relationships" r:embed="rId9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965</xdr:row>
      <xdr:rowOff>95250</xdr:rowOff>
    </xdr:from>
    <xdr:ext cx="1143000" cy="1143000"/>
    <xdr:pic>
      <xdr:nvPicPr>
        <xdr:cNvPr id="956" name="Image_966" descr="Image_966"/>
        <xdr:cNvPicPr>
          <a:picLocks noChangeAspect="1"/>
        </xdr:cNvPicPr>
      </xdr:nvPicPr>
      <xdr:blipFill>
        <a:blip xmlns:r="http://schemas.openxmlformats.org/officeDocument/2006/relationships" r:embed="rId9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966</xdr:row>
      <xdr:rowOff>95250</xdr:rowOff>
    </xdr:from>
    <xdr:ext cx="1143000" cy="1143000"/>
    <xdr:pic>
      <xdr:nvPicPr>
        <xdr:cNvPr id="957" name="Image_967" descr="Image_967"/>
        <xdr:cNvPicPr>
          <a:picLocks noChangeAspect="1"/>
        </xdr:cNvPicPr>
      </xdr:nvPicPr>
      <xdr:blipFill>
        <a:blip xmlns:r="http://schemas.openxmlformats.org/officeDocument/2006/relationships" r:embed="rId9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967</xdr:row>
      <xdr:rowOff>95250</xdr:rowOff>
    </xdr:from>
    <xdr:ext cx="1143000" cy="1143000"/>
    <xdr:pic>
      <xdr:nvPicPr>
        <xdr:cNvPr id="958" name="Image_968" descr="Image_968"/>
        <xdr:cNvPicPr>
          <a:picLocks noChangeAspect="1"/>
        </xdr:cNvPicPr>
      </xdr:nvPicPr>
      <xdr:blipFill>
        <a:blip xmlns:r="http://schemas.openxmlformats.org/officeDocument/2006/relationships" r:embed="rId9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968</xdr:row>
      <xdr:rowOff>95250</xdr:rowOff>
    </xdr:from>
    <xdr:ext cx="1143000" cy="1143000"/>
    <xdr:pic>
      <xdr:nvPicPr>
        <xdr:cNvPr id="959" name="Image_969" descr="Image_969"/>
        <xdr:cNvPicPr>
          <a:picLocks noChangeAspect="1"/>
        </xdr:cNvPicPr>
      </xdr:nvPicPr>
      <xdr:blipFill>
        <a:blip xmlns:r="http://schemas.openxmlformats.org/officeDocument/2006/relationships" r:embed="rId9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969</xdr:row>
      <xdr:rowOff>95250</xdr:rowOff>
    </xdr:from>
    <xdr:ext cx="1143000" cy="1143000"/>
    <xdr:pic>
      <xdr:nvPicPr>
        <xdr:cNvPr id="960" name="Image_970" descr="Image_970"/>
        <xdr:cNvPicPr>
          <a:picLocks noChangeAspect="1"/>
        </xdr:cNvPicPr>
      </xdr:nvPicPr>
      <xdr:blipFill>
        <a:blip xmlns:r="http://schemas.openxmlformats.org/officeDocument/2006/relationships" r:embed="rId9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970</xdr:row>
      <xdr:rowOff>95250</xdr:rowOff>
    </xdr:from>
    <xdr:ext cx="1143000" cy="1143000"/>
    <xdr:pic>
      <xdr:nvPicPr>
        <xdr:cNvPr id="961" name="Image_971" descr="Image_971"/>
        <xdr:cNvPicPr>
          <a:picLocks noChangeAspect="1"/>
        </xdr:cNvPicPr>
      </xdr:nvPicPr>
      <xdr:blipFill>
        <a:blip xmlns:r="http://schemas.openxmlformats.org/officeDocument/2006/relationships" r:embed="rId9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971</xdr:row>
      <xdr:rowOff>95250</xdr:rowOff>
    </xdr:from>
    <xdr:ext cx="1143000" cy="1143000"/>
    <xdr:pic>
      <xdr:nvPicPr>
        <xdr:cNvPr id="962" name="Image_972" descr="Image_972"/>
        <xdr:cNvPicPr>
          <a:picLocks noChangeAspect="1"/>
        </xdr:cNvPicPr>
      </xdr:nvPicPr>
      <xdr:blipFill>
        <a:blip xmlns:r="http://schemas.openxmlformats.org/officeDocument/2006/relationships" r:embed="rId9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972</xdr:row>
      <xdr:rowOff>95250</xdr:rowOff>
    </xdr:from>
    <xdr:ext cx="1143000" cy="1143000"/>
    <xdr:pic>
      <xdr:nvPicPr>
        <xdr:cNvPr id="963" name="Image_973" descr="Image_973"/>
        <xdr:cNvPicPr>
          <a:picLocks noChangeAspect="1"/>
        </xdr:cNvPicPr>
      </xdr:nvPicPr>
      <xdr:blipFill>
        <a:blip xmlns:r="http://schemas.openxmlformats.org/officeDocument/2006/relationships" r:embed="rId9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973</xdr:row>
      <xdr:rowOff>95250</xdr:rowOff>
    </xdr:from>
    <xdr:ext cx="1143000" cy="1143000"/>
    <xdr:pic>
      <xdr:nvPicPr>
        <xdr:cNvPr id="964" name="Image_974" descr="Image_974"/>
        <xdr:cNvPicPr>
          <a:picLocks noChangeAspect="1"/>
        </xdr:cNvPicPr>
      </xdr:nvPicPr>
      <xdr:blipFill>
        <a:blip xmlns:r="http://schemas.openxmlformats.org/officeDocument/2006/relationships" r:embed="rId9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974</xdr:row>
      <xdr:rowOff>95250</xdr:rowOff>
    </xdr:from>
    <xdr:ext cx="1143000" cy="1143000"/>
    <xdr:pic>
      <xdr:nvPicPr>
        <xdr:cNvPr id="965" name="Image_975" descr="Image_975"/>
        <xdr:cNvPicPr>
          <a:picLocks noChangeAspect="1"/>
        </xdr:cNvPicPr>
      </xdr:nvPicPr>
      <xdr:blipFill>
        <a:blip xmlns:r="http://schemas.openxmlformats.org/officeDocument/2006/relationships" r:embed="rId9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975</xdr:row>
      <xdr:rowOff>95250</xdr:rowOff>
    </xdr:from>
    <xdr:ext cx="1143000" cy="1143000"/>
    <xdr:pic>
      <xdr:nvPicPr>
        <xdr:cNvPr id="966" name="Image_976" descr="Image_976"/>
        <xdr:cNvPicPr>
          <a:picLocks noChangeAspect="1"/>
        </xdr:cNvPicPr>
      </xdr:nvPicPr>
      <xdr:blipFill>
        <a:blip xmlns:r="http://schemas.openxmlformats.org/officeDocument/2006/relationships" r:embed="rId9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976</xdr:row>
      <xdr:rowOff>95250</xdr:rowOff>
    </xdr:from>
    <xdr:ext cx="1143000" cy="1143000"/>
    <xdr:pic>
      <xdr:nvPicPr>
        <xdr:cNvPr id="967" name="Image_977" descr="Image_977"/>
        <xdr:cNvPicPr>
          <a:picLocks noChangeAspect="1"/>
        </xdr:cNvPicPr>
      </xdr:nvPicPr>
      <xdr:blipFill>
        <a:blip xmlns:r="http://schemas.openxmlformats.org/officeDocument/2006/relationships" r:embed="rId9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977</xdr:row>
      <xdr:rowOff>95250</xdr:rowOff>
    </xdr:from>
    <xdr:ext cx="1143000" cy="1143000"/>
    <xdr:pic>
      <xdr:nvPicPr>
        <xdr:cNvPr id="968" name="Image_978" descr="Image_978"/>
        <xdr:cNvPicPr>
          <a:picLocks noChangeAspect="1"/>
        </xdr:cNvPicPr>
      </xdr:nvPicPr>
      <xdr:blipFill>
        <a:blip xmlns:r="http://schemas.openxmlformats.org/officeDocument/2006/relationships" r:embed="rId9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978</xdr:row>
      <xdr:rowOff>95250</xdr:rowOff>
    </xdr:from>
    <xdr:ext cx="1143000" cy="1143000"/>
    <xdr:pic>
      <xdr:nvPicPr>
        <xdr:cNvPr id="969" name="Image_979" descr="Image_979"/>
        <xdr:cNvPicPr>
          <a:picLocks noChangeAspect="1"/>
        </xdr:cNvPicPr>
      </xdr:nvPicPr>
      <xdr:blipFill>
        <a:blip xmlns:r="http://schemas.openxmlformats.org/officeDocument/2006/relationships" r:embed="rId9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979</xdr:row>
      <xdr:rowOff>95250</xdr:rowOff>
    </xdr:from>
    <xdr:ext cx="1143000" cy="1143000"/>
    <xdr:pic>
      <xdr:nvPicPr>
        <xdr:cNvPr id="970" name="Image_980" descr="Image_980"/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980</xdr:row>
      <xdr:rowOff>95250</xdr:rowOff>
    </xdr:from>
    <xdr:ext cx="1143000" cy="1143000"/>
    <xdr:pic>
      <xdr:nvPicPr>
        <xdr:cNvPr id="971" name="Image_981" descr="Image_981"/>
        <xdr:cNvPicPr>
          <a:picLocks noChangeAspect="1"/>
        </xdr:cNvPicPr>
      </xdr:nvPicPr>
      <xdr:blipFill>
        <a:blip xmlns:r="http://schemas.openxmlformats.org/officeDocument/2006/relationships" r:embed="rId9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981</xdr:row>
      <xdr:rowOff>95250</xdr:rowOff>
    </xdr:from>
    <xdr:ext cx="1143000" cy="1143000"/>
    <xdr:pic>
      <xdr:nvPicPr>
        <xdr:cNvPr id="972" name="Image_982" descr="Image_982"/>
        <xdr:cNvPicPr>
          <a:picLocks noChangeAspect="1"/>
        </xdr:cNvPicPr>
      </xdr:nvPicPr>
      <xdr:blipFill>
        <a:blip xmlns:r="http://schemas.openxmlformats.org/officeDocument/2006/relationships" r:embed="rId9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982</xdr:row>
      <xdr:rowOff>95250</xdr:rowOff>
    </xdr:from>
    <xdr:ext cx="1143000" cy="1143000"/>
    <xdr:pic>
      <xdr:nvPicPr>
        <xdr:cNvPr id="973" name="Image_983" descr="Image_983"/>
        <xdr:cNvPicPr>
          <a:picLocks noChangeAspect="1"/>
        </xdr:cNvPicPr>
      </xdr:nvPicPr>
      <xdr:blipFill>
        <a:blip xmlns:r="http://schemas.openxmlformats.org/officeDocument/2006/relationships" r:embed="rId9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983</xdr:row>
      <xdr:rowOff>95250</xdr:rowOff>
    </xdr:from>
    <xdr:ext cx="1143000" cy="1143000"/>
    <xdr:pic>
      <xdr:nvPicPr>
        <xdr:cNvPr id="974" name="Image_984" descr="Image_984"/>
        <xdr:cNvPicPr>
          <a:picLocks noChangeAspect="1"/>
        </xdr:cNvPicPr>
      </xdr:nvPicPr>
      <xdr:blipFill>
        <a:blip xmlns:r="http://schemas.openxmlformats.org/officeDocument/2006/relationships" r:embed="rId9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984</xdr:row>
      <xdr:rowOff>95250</xdr:rowOff>
    </xdr:from>
    <xdr:ext cx="1143000" cy="1143000"/>
    <xdr:pic>
      <xdr:nvPicPr>
        <xdr:cNvPr id="975" name="Image_985" descr="Image_985"/>
        <xdr:cNvPicPr>
          <a:picLocks noChangeAspect="1"/>
        </xdr:cNvPicPr>
      </xdr:nvPicPr>
      <xdr:blipFill>
        <a:blip xmlns:r="http://schemas.openxmlformats.org/officeDocument/2006/relationships" r:embed="rId9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985</xdr:row>
      <xdr:rowOff>95250</xdr:rowOff>
    </xdr:from>
    <xdr:ext cx="1143000" cy="1143000"/>
    <xdr:pic>
      <xdr:nvPicPr>
        <xdr:cNvPr id="976" name="Image_986" descr="Image_986"/>
        <xdr:cNvPicPr>
          <a:picLocks noChangeAspect="1"/>
        </xdr:cNvPicPr>
      </xdr:nvPicPr>
      <xdr:blipFill>
        <a:blip xmlns:r="http://schemas.openxmlformats.org/officeDocument/2006/relationships" r:embed="rId9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986</xdr:row>
      <xdr:rowOff>95250</xdr:rowOff>
    </xdr:from>
    <xdr:ext cx="1143000" cy="1143000"/>
    <xdr:pic>
      <xdr:nvPicPr>
        <xdr:cNvPr id="977" name="Image_987" descr="Image_987"/>
        <xdr:cNvPicPr>
          <a:picLocks noChangeAspect="1"/>
        </xdr:cNvPicPr>
      </xdr:nvPicPr>
      <xdr:blipFill>
        <a:blip xmlns:r="http://schemas.openxmlformats.org/officeDocument/2006/relationships" r:embed="rId9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987</xdr:row>
      <xdr:rowOff>95250</xdr:rowOff>
    </xdr:from>
    <xdr:ext cx="1143000" cy="1143000"/>
    <xdr:pic>
      <xdr:nvPicPr>
        <xdr:cNvPr id="978" name="Image_988" descr="Image_988"/>
        <xdr:cNvPicPr>
          <a:picLocks noChangeAspect="1"/>
        </xdr:cNvPicPr>
      </xdr:nvPicPr>
      <xdr:blipFill>
        <a:blip xmlns:r="http://schemas.openxmlformats.org/officeDocument/2006/relationships" r:embed="rId9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988</xdr:row>
      <xdr:rowOff>95250</xdr:rowOff>
    </xdr:from>
    <xdr:ext cx="1143000" cy="1143000"/>
    <xdr:pic>
      <xdr:nvPicPr>
        <xdr:cNvPr id="979" name="Image_989" descr="Image_989"/>
        <xdr:cNvPicPr>
          <a:picLocks noChangeAspect="1"/>
        </xdr:cNvPicPr>
      </xdr:nvPicPr>
      <xdr:blipFill>
        <a:blip xmlns:r="http://schemas.openxmlformats.org/officeDocument/2006/relationships" r:embed="rId9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989</xdr:row>
      <xdr:rowOff>95250</xdr:rowOff>
    </xdr:from>
    <xdr:ext cx="1143000" cy="1143000"/>
    <xdr:pic>
      <xdr:nvPicPr>
        <xdr:cNvPr id="980" name="Image_990" descr="Image_990"/>
        <xdr:cNvPicPr>
          <a:picLocks noChangeAspect="1"/>
        </xdr:cNvPicPr>
      </xdr:nvPicPr>
      <xdr:blipFill>
        <a:blip xmlns:r="http://schemas.openxmlformats.org/officeDocument/2006/relationships" r:embed="rId9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990</xdr:row>
      <xdr:rowOff>95250</xdr:rowOff>
    </xdr:from>
    <xdr:ext cx="1143000" cy="1143000"/>
    <xdr:pic>
      <xdr:nvPicPr>
        <xdr:cNvPr id="981" name="Image_991" descr="Image_991"/>
        <xdr:cNvPicPr>
          <a:picLocks noChangeAspect="1"/>
        </xdr:cNvPicPr>
      </xdr:nvPicPr>
      <xdr:blipFill>
        <a:blip xmlns:r="http://schemas.openxmlformats.org/officeDocument/2006/relationships" r:embed="rId9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991</xdr:row>
      <xdr:rowOff>95250</xdr:rowOff>
    </xdr:from>
    <xdr:ext cx="1143000" cy="1143000"/>
    <xdr:pic>
      <xdr:nvPicPr>
        <xdr:cNvPr id="982" name="Image_992" descr="Image_992"/>
        <xdr:cNvPicPr>
          <a:picLocks noChangeAspect="1"/>
        </xdr:cNvPicPr>
      </xdr:nvPicPr>
      <xdr:blipFill>
        <a:blip xmlns:r="http://schemas.openxmlformats.org/officeDocument/2006/relationships" r:embed="rId9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992</xdr:row>
      <xdr:rowOff>95250</xdr:rowOff>
    </xdr:from>
    <xdr:ext cx="1143000" cy="1143000"/>
    <xdr:pic>
      <xdr:nvPicPr>
        <xdr:cNvPr id="983" name="Image_993" descr="Image_993"/>
        <xdr:cNvPicPr>
          <a:picLocks noChangeAspect="1"/>
        </xdr:cNvPicPr>
      </xdr:nvPicPr>
      <xdr:blipFill>
        <a:blip xmlns:r="http://schemas.openxmlformats.org/officeDocument/2006/relationships" r:embed="rId9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993</xdr:row>
      <xdr:rowOff>95250</xdr:rowOff>
    </xdr:from>
    <xdr:ext cx="1143000" cy="1143000"/>
    <xdr:pic>
      <xdr:nvPicPr>
        <xdr:cNvPr id="984" name="Image_994" descr="Image_994"/>
        <xdr:cNvPicPr>
          <a:picLocks noChangeAspect="1"/>
        </xdr:cNvPicPr>
      </xdr:nvPicPr>
      <xdr:blipFill>
        <a:blip xmlns:r="http://schemas.openxmlformats.org/officeDocument/2006/relationships" r:embed="rId9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994</xdr:row>
      <xdr:rowOff>95250</xdr:rowOff>
    </xdr:from>
    <xdr:ext cx="1143000" cy="1143000"/>
    <xdr:pic>
      <xdr:nvPicPr>
        <xdr:cNvPr id="985" name="Image_995" descr="Image_995"/>
        <xdr:cNvPicPr>
          <a:picLocks noChangeAspect="1"/>
        </xdr:cNvPicPr>
      </xdr:nvPicPr>
      <xdr:blipFill>
        <a:blip xmlns:r="http://schemas.openxmlformats.org/officeDocument/2006/relationships" r:embed="rId9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995</xdr:row>
      <xdr:rowOff>95250</xdr:rowOff>
    </xdr:from>
    <xdr:ext cx="1143000" cy="1143000"/>
    <xdr:pic>
      <xdr:nvPicPr>
        <xdr:cNvPr id="986" name="Image_996" descr="Image_996"/>
        <xdr:cNvPicPr>
          <a:picLocks noChangeAspect="1"/>
        </xdr:cNvPicPr>
      </xdr:nvPicPr>
      <xdr:blipFill>
        <a:blip xmlns:r="http://schemas.openxmlformats.org/officeDocument/2006/relationships" r:embed="rId9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996</xdr:row>
      <xdr:rowOff>95250</xdr:rowOff>
    </xdr:from>
    <xdr:ext cx="1143000" cy="1143000"/>
    <xdr:pic>
      <xdr:nvPicPr>
        <xdr:cNvPr id="987" name="Image_997" descr="Image_997"/>
        <xdr:cNvPicPr>
          <a:picLocks noChangeAspect="1"/>
        </xdr:cNvPicPr>
      </xdr:nvPicPr>
      <xdr:blipFill>
        <a:blip xmlns:r="http://schemas.openxmlformats.org/officeDocument/2006/relationships" r:embed="rId9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997</xdr:row>
      <xdr:rowOff>95250</xdr:rowOff>
    </xdr:from>
    <xdr:ext cx="1143000" cy="1143000"/>
    <xdr:pic>
      <xdr:nvPicPr>
        <xdr:cNvPr id="988" name="Image_998" descr="Image_998"/>
        <xdr:cNvPicPr>
          <a:picLocks noChangeAspect="1"/>
        </xdr:cNvPicPr>
      </xdr:nvPicPr>
      <xdr:blipFill>
        <a:blip xmlns:r="http://schemas.openxmlformats.org/officeDocument/2006/relationships" r:embed="rId9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998</xdr:row>
      <xdr:rowOff>95250</xdr:rowOff>
    </xdr:from>
    <xdr:ext cx="1143000" cy="1143000"/>
    <xdr:pic>
      <xdr:nvPicPr>
        <xdr:cNvPr id="989" name="Image_999" descr="Image_999"/>
        <xdr:cNvPicPr>
          <a:picLocks noChangeAspect="1"/>
        </xdr:cNvPicPr>
      </xdr:nvPicPr>
      <xdr:blipFill>
        <a:blip xmlns:r="http://schemas.openxmlformats.org/officeDocument/2006/relationships" r:embed="rId9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999</xdr:row>
      <xdr:rowOff>95250</xdr:rowOff>
    </xdr:from>
    <xdr:ext cx="1143000" cy="1143000"/>
    <xdr:pic>
      <xdr:nvPicPr>
        <xdr:cNvPr id="990" name="Image_1000" descr="Image_1000"/>
        <xdr:cNvPicPr>
          <a:picLocks noChangeAspect="1"/>
        </xdr:cNvPicPr>
      </xdr:nvPicPr>
      <xdr:blipFill>
        <a:blip xmlns:r="http://schemas.openxmlformats.org/officeDocument/2006/relationships" r:embed="rId9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1000</xdr:row>
      <xdr:rowOff>95250</xdr:rowOff>
    </xdr:from>
    <xdr:ext cx="1143000" cy="1143000"/>
    <xdr:pic>
      <xdr:nvPicPr>
        <xdr:cNvPr id="991" name="Image_1001" descr="Image_1001"/>
        <xdr:cNvPicPr>
          <a:picLocks noChangeAspect="1"/>
        </xdr:cNvPicPr>
      </xdr:nvPicPr>
      <xdr:blipFill>
        <a:blip xmlns:r="http://schemas.openxmlformats.org/officeDocument/2006/relationships" r:embed="rId9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1001</xdr:row>
      <xdr:rowOff>95250</xdr:rowOff>
    </xdr:from>
    <xdr:ext cx="1143000" cy="1143000"/>
    <xdr:pic>
      <xdr:nvPicPr>
        <xdr:cNvPr id="992" name="Image_1002" descr="Image_1002"/>
        <xdr:cNvPicPr>
          <a:picLocks noChangeAspect="1"/>
        </xdr:cNvPicPr>
      </xdr:nvPicPr>
      <xdr:blipFill>
        <a:blip xmlns:r="http://schemas.openxmlformats.org/officeDocument/2006/relationships" r:embed="rId9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1002</xdr:row>
      <xdr:rowOff>95250</xdr:rowOff>
    </xdr:from>
    <xdr:ext cx="1143000" cy="1143000"/>
    <xdr:pic>
      <xdr:nvPicPr>
        <xdr:cNvPr id="993" name="Image_1003" descr="Image_1003"/>
        <xdr:cNvPicPr>
          <a:picLocks noChangeAspect="1"/>
        </xdr:cNvPicPr>
      </xdr:nvPicPr>
      <xdr:blipFill>
        <a:blip xmlns:r="http://schemas.openxmlformats.org/officeDocument/2006/relationships" r:embed="rId9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1003</xdr:row>
      <xdr:rowOff>95250</xdr:rowOff>
    </xdr:from>
    <xdr:ext cx="1143000" cy="1143000"/>
    <xdr:pic>
      <xdr:nvPicPr>
        <xdr:cNvPr id="994" name="Image_1004" descr="Image_1004"/>
        <xdr:cNvPicPr>
          <a:picLocks noChangeAspect="1"/>
        </xdr:cNvPicPr>
      </xdr:nvPicPr>
      <xdr:blipFill>
        <a:blip xmlns:r="http://schemas.openxmlformats.org/officeDocument/2006/relationships" r:embed="rId9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1004</xdr:row>
      <xdr:rowOff>95250</xdr:rowOff>
    </xdr:from>
    <xdr:ext cx="1143000" cy="1143000"/>
    <xdr:pic>
      <xdr:nvPicPr>
        <xdr:cNvPr id="995" name="Image_1005" descr="Image_1005"/>
        <xdr:cNvPicPr>
          <a:picLocks noChangeAspect="1"/>
        </xdr:cNvPicPr>
      </xdr:nvPicPr>
      <xdr:blipFill>
        <a:blip xmlns:r="http://schemas.openxmlformats.org/officeDocument/2006/relationships" r:embed="rId9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1005</xdr:row>
      <xdr:rowOff>95250</xdr:rowOff>
    </xdr:from>
    <xdr:ext cx="1143000" cy="1143000"/>
    <xdr:pic>
      <xdr:nvPicPr>
        <xdr:cNvPr id="996" name="Image_1006" descr="Image_1006"/>
        <xdr:cNvPicPr>
          <a:picLocks noChangeAspect="1"/>
        </xdr:cNvPicPr>
      </xdr:nvPicPr>
      <xdr:blipFill>
        <a:blip xmlns:r="http://schemas.openxmlformats.org/officeDocument/2006/relationships" r:embed="rId9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1006</xdr:row>
      <xdr:rowOff>95250</xdr:rowOff>
    </xdr:from>
    <xdr:ext cx="1143000" cy="1143000"/>
    <xdr:pic>
      <xdr:nvPicPr>
        <xdr:cNvPr id="997" name="Image_1007" descr="Image_1007"/>
        <xdr:cNvPicPr>
          <a:picLocks noChangeAspect="1"/>
        </xdr:cNvPicPr>
      </xdr:nvPicPr>
      <xdr:blipFill>
        <a:blip xmlns:r="http://schemas.openxmlformats.org/officeDocument/2006/relationships" r:embed="rId9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1007</xdr:row>
      <xdr:rowOff>95250</xdr:rowOff>
    </xdr:from>
    <xdr:ext cx="1143000" cy="1143000"/>
    <xdr:pic>
      <xdr:nvPicPr>
        <xdr:cNvPr id="998" name="Image_1008" descr="Image_1008"/>
        <xdr:cNvPicPr>
          <a:picLocks noChangeAspect="1"/>
        </xdr:cNvPicPr>
      </xdr:nvPicPr>
      <xdr:blipFill>
        <a:blip xmlns:r="http://schemas.openxmlformats.org/officeDocument/2006/relationships" r:embed="rId9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1008</xdr:row>
      <xdr:rowOff>95250</xdr:rowOff>
    </xdr:from>
    <xdr:ext cx="1143000" cy="1143000"/>
    <xdr:pic>
      <xdr:nvPicPr>
        <xdr:cNvPr id="999" name="Image_1009" descr="Image_1009"/>
        <xdr:cNvPicPr>
          <a:picLocks noChangeAspect="1"/>
        </xdr:cNvPicPr>
      </xdr:nvPicPr>
      <xdr:blipFill>
        <a:blip xmlns:r="http://schemas.openxmlformats.org/officeDocument/2006/relationships" r:embed="rId9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1009</xdr:row>
      <xdr:rowOff>95250</xdr:rowOff>
    </xdr:from>
    <xdr:ext cx="1143000" cy="1143000"/>
    <xdr:pic>
      <xdr:nvPicPr>
        <xdr:cNvPr id="1000" name="Image_1010" descr="Image_1010"/>
        <xdr:cNvPicPr>
          <a:picLocks noChangeAspect="1"/>
        </xdr:cNvPicPr>
      </xdr:nvPicPr>
      <xdr:blipFill>
        <a:blip xmlns:r="http://schemas.openxmlformats.org/officeDocument/2006/relationships" r:embed="rId10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1010</xdr:row>
      <xdr:rowOff>95250</xdr:rowOff>
    </xdr:from>
    <xdr:ext cx="1143000" cy="1143000"/>
    <xdr:pic>
      <xdr:nvPicPr>
        <xdr:cNvPr id="1001" name="Image_1011" descr="Image_1011"/>
        <xdr:cNvPicPr>
          <a:picLocks noChangeAspect="1"/>
        </xdr:cNvPicPr>
      </xdr:nvPicPr>
      <xdr:blipFill>
        <a:blip xmlns:r="http://schemas.openxmlformats.org/officeDocument/2006/relationships" r:embed="rId10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1011</xdr:row>
      <xdr:rowOff>95250</xdr:rowOff>
    </xdr:from>
    <xdr:ext cx="1143000" cy="1143000"/>
    <xdr:pic>
      <xdr:nvPicPr>
        <xdr:cNvPr id="1002" name="Image_1012" descr="Image_1012"/>
        <xdr:cNvPicPr>
          <a:picLocks noChangeAspect="1"/>
        </xdr:cNvPicPr>
      </xdr:nvPicPr>
      <xdr:blipFill>
        <a:blip xmlns:r="http://schemas.openxmlformats.org/officeDocument/2006/relationships" r:embed="rId10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1012</xdr:row>
      <xdr:rowOff>95250</xdr:rowOff>
    </xdr:from>
    <xdr:ext cx="1143000" cy="1143000"/>
    <xdr:pic>
      <xdr:nvPicPr>
        <xdr:cNvPr id="1003" name="Image_1013" descr="Image_1013"/>
        <xdr:cNvPicPr>
          <a:picLocks noChangeAspect="1"/>
        </xdr:cNvPicPr>
      </xdr:nvPicPr>
      <xdr:blipFill>
        <a:blip xmlns:r="http://schemas.openxmlformats.org/officeDocument/2006/relationships" r:embed="rId10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1013</xdr:row>
      <xdr:rowOff>95250</xdr:rowOff>
    </xdr:from>
    <xdr:ext cx="1143000" cy="1143000"/>
    <xdr:pic>
      <xdr:nvPicPr>
        <xdr:cNvPr id="1004" name="Image_1014" descr="Image_1014"/>
        <xdr:cNvPicPr>
          <a:picLocks noChangeAspect="1"/>
        </xdr:cNvPicPr>
      </xdr:nvPicPr>
      <xdr:blipFill>
        <a:blip xmlns:r="http://schemas.openxmlformats.org/officeDocument/2006/relationships" r:embed="rId10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1014</xdr:row>
      <xdr:rowOff>95250</xdr:rowOff>
    </xdr:from>
    <xdr:ext cx="1143000" cy="1143000"/>
    <xdr:pic>
      <xdr:nvPicPr>
        <xdr:cNvPr id="1005" name="Image_1015" descr="Image_1015"/>
        <xdr:cNvPicPr>
          <a:picLocks noChangeAspect="1"/>
        </xdr:cNvPicPr>
      </xdr:nvPicPr>
      <xdr:blipFill>
        <a:blip xmlns:r="http://schemas.openxmlformats.org/officeDocument/2006/relationships" r:embed="rId10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1015</xdr:row>
      <xdr:rowOff>95250</xdr:rowOff>
    </xdr:from>
    <xdr:ext cx="1143000" cy="1143000"/>
    <xdr:pic>
      <xdr:nvPicPr>
        <xdr:cNvPr id="1006" name="Image_1016" descr="Image_1016"/>
        <xdr:cNvPicPr>
          <a:picLocks noChangeAspect="1"/>
        </xdr:cNvPicPr>
      </xdr:nvPicPr>
      <xdr:blipFill>
        <a:blip xmlns:r="http://schemas.openxmlformats.org/officeDocument/2006/relationships" r:embed="rId10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1016</xdr:row>
      <xdr:rowOff>95250</xdr:rowOff>
    </xdr:from>
    <xdr:ext cx="1143000" cy="1143000"/>
    <xdr:pic>
      <xdr:nvPicPr>
        <xdr:cNvPr id="1007" name="Image_1017" descr="Image_1017"/>
        <xdr:cNvPicPr>
          <a:picLocks noChangeAspect="1"/>
        </xdr:cNvPicPr>
      </xdr:nvPicPr>
      <xdr:blipFill>
        <a:blip xmlns:r="http://schemas.openxmlformats.org/officeDocument/2006/relationships" r:embed="rId10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1017</xdr:row>
      <xdr:rowOff>95250</xdr:rowOff>
    </xdr:from>
    <xdr:ext cx="1143000" cy="1143000"/>
    <xdr:pic>
      <xdr:nvPicPr>
        <xdr:cNvPr id="1008" name="Image_1018" descr="Image_1018"/>
        <xdr:cNvPicPr>
          <a:picLocks noChangeAspect="1"/>
        </xdr:cNvPicPr>
      </xdr:nvPicPr>
      <xdr:blipFill>
        <a:blip xmlns:r="http://schemas.openxmlformats.org/officeDocument/2006/relationships" r:embed="rId10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1018</xdr:row>
      <xdr:rowOff>95250</xdr:rowOff>
    </xdr:from>
    <xdr:ext cx="1143000" cy="1143000"/>
    <xdr:pic>
      <xdr:nvPicPr>
        <xdr:cNvPr id="1009" name="Image_1019" descr="Image_1019"/>
        <xdr:cNvPicPr>
          <a:picLocks noChangeAspect="1"/>
        </xdr:cNvPicPr>
      </xdr:nvPicPr>
      <xdr:blipFill>
        <a:blip xmlns:r="http://schemas.openxmlformats.org/officeDocument/2006/relationships" r:embed="rId10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1019</xdr:row>
      <xdr:rowOff>95250</xdr:rowOff>
    </xdr:from>
    <xdr:ext cx="1143000" cy="1143000"/>
    <xdr:pic>
      <xdr:nvPicPr>
        <xdr:cNvPr id="1010" name="Image_1020" descr="Image_1020"/>
        <xdr:cNvPicPr>
          <a:picLocks noChangeAspect="1"/>
        </xdr:cNvPicPr>
      </xdr:nvPicPr>
      <xdr:blipFill>
        <a:blip xmlns:r="http://schemas.openxmlformats.org/officeDocument/2006/relationships" r:embed="rId10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1020</xdr:row>
      <xdr:rowOff>95250</xdr:rowOff>
    </xdr:from>
    <xdr:ext cx="1143000" cy="1143000"/>
    <xdr:pic>
      <xdr:nvPicPr>
        <xdr:cNvPr id="1011" name="Image_1021" descr="Image_1021"/>
        <xdr:cNvPicPr>
          <a:picLocks noChangeAspect="1"/>
        </xdr:cNvPicPr>
      </xdr:nvPicPr>
      <xdr:blipFill>
        <a:blip xmlns:r="http://schemas.openxmlformats.org/officeDocument/2006/relationships" r:embed="rId10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1021</xdr:row>
      <xdr:rowOff>95250</xdr:rowOff>
    </xdr:from>
    <xdr:ext cx="1143000" cy="1143000"/>
    <xdr:pic>
      <xdr:nvPicPr>
        <xdr:cNvPr id="1012" name="Image_1022" descr="Image_1022"/>
        <xdr:cNvPicPr>
          <a:picLocks noChangeAspect="1"/>
        </xdr:cNvPicPr>
      </xdr:nvPicPr>
      <xdr:blipFill>
        <a:blip xmlns:r="http://schemas.openxmlformats.org/officeDocument/2006/relationships" r:embed="rId10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1022</xdr:row>
      <xdr:rowOff>95250</xdr:rowOff>
    </xdr:from>
    <xdr:ext cx="1143000" cy="1143000"/>
    <xdr:pic>
      <xdr:nvPicPr>
        <xdr:cNvPr id="1013" name="Image_1023" descr="Image_1023"/>
        <xdr:cNvPicPr>
          <a:picLocks noChangeAspect="1"/>
        </xdr:cNvPicPr>
      </xdr:nvPicPr>
      <xdr:blipFill>
        <a:blip xmlns:r="http://schemas.openxmlformats.org/officeDocument/2006/relationships" r:embed="rId10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1023</xdr:row>
      <xdr:rowOff>95250</xdr:rowOff>
    </xdr:from>
    <xdr:ext cx="1143000" cy="1143000"/>
    <xdr:pic>
      <xdr:nvPicPr>
        <xdr:cNvPr id="1014" name="Image_1024" descr="Image_1024"/>
        <xdr:cNvPicPr>
          <a:picLocks noChangeAspect="1"/>
        </xdr:cNvPicPr>
      </xdr:nvPicPr>
      <xdr:blipFill>
        <a:blip xmlns:r="http://schemas.openxmlformats.org/officeDocument/2006/relationships" r:embed="rId10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1024</xdr:row>
      <xdr:rowOff>95250</xdr:rowOff>
    </xdr:from>
    <xdr:ext cx="1143000" cy="1143000"/>
    <xdr:pic>
      <xdr:nvPicPr>
        <xdr:cNvPr id="1015" name="Image_1025" descr="Image_1025"/>
        <xdr:cNvPicPr>
          <a:picLocks noChangeAspect="1"/>
        </xdr:cNvPicPr>
      </xdr:nvPicPr>
      <xdr:blipFill>
        <a:blip xmlns:r="http://schemas.openxmlformats.org/officeDocument/2006/relationships" r:embed="rId10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1025</xdr:row>
      <xdr:rowOff>95250</xdr:rowOff>
    </xdr:from>
    <xdr:ext cx="1143000" cy="1143000"/>
    <xdr:pic>
      <xdr:nvPicPr>
        <xdr:cNvPr id="1016" name="Image_1026" descr="Image_1026"/>
        <xdr:cNvPicPr>
          <a:picLocks noChangeAspect="1"/>
        </xdr:cNvPicPr>
      </xdr:nvPicPr>
      <xdr:blipFill>
        <a:blip xmlns:r="http://schemas.openxmlformats.org/officeDocument/2006/relationships" r:embed="rId10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1026</xdr:row>
      <xdr:rowOff>95250</xdr:rowOff>
    </xdr:from>
    <xdr:ext cx="1143000" cy="1143000"/>
    <xdr:pic>
      <xdr:nvPicPr>
        <xdr:cNvPr id="1017" name="Image_1027" descr="Image_1027"/>
        <xdr:cNvPicPr>
          <a:picLocks noChangeAspect="1"/>
        </xdr:cNvPicPr>
      </xdr:nvPicPr>
      <xdr:blipFill>
        <a:blip xmlns:r="http://schemas.openxmlformats.org/officeDocument/2006/relationships" r:embed="rId10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1027</xdr:row>
      <xdr:rowOff>95250</xdr:rowOff>
    </xdr:from>
    <xdr:ext cx="1143000" cy="1143000"/>
    <xdr:pic>
      <xdr:nvPicPr>
        <xdr:cNvPr id="1018" name="Image_1028" descr="Image_1028"/>
        <xdr:cNvPicPr>
          <a:picLocks noChangeAspect="1"/>
        </xdr:cNvPicPr>
      </xdr:nvPicPr>
      <xdr:blipFill>
        <a:blip xmlns:r="http://schemas.openxmlformats.org/officeDocument/2006/relationships" r:embed="rId10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1028</xdr:row>
      <xdr:rowOff>95250</xdr:rowOff>
    </xdr:from>
    <xdr:ext cx="1143000" cy="1143000"/>
    <xdr:pic>
      <xdr:nvPicPr>
        <xdr:cNvPr id="1019" name="Image_1029" descr="Image_1029"/>
        <xdr:cNvPicPr>
          <a:picLocks noChangeAspect="1"/>
        </xdr:cNvPicPr>
      </xdr:nvPicPr>
      <xdr:blipFill>
        <a:blip xmlns:r="http://schemas.openxmlformats.org/officeDocument/2006/relationships" r:embed="rId10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1029</xdr:row>
      <xdr:rowOff>95250</xdr:rowOff>
    </xdr:from>
    <xdr:ext cx="1143000" cy="1143000"/>
    <xdr:pic>
      <xdr:nvPicPr>
        <xdr:cNvPr id="1020" name="Image_1030" descr="Image_1030"/>
        <xdr:cNvPicPr>
          <a:picLocks noChangeAspect="1"/>
        </xdr:cNvPicPr>
      </xdr:nvPicPr>
      <xdr:blipFill>
        <a:blip xmlns:r="http://schemas.openxmlformats.org/officeDocument/2006/relationships" r:embed="rId10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1030</xdr:row>
      <xdr:rowOff>95250</xdr:rowOff>
    </xdr:from>
    <xdr:ext cx="1143000" cy="1143000"/>
    <xdr:pic>
      <xdr:nvPicPr>
        <xdr:cNvPr id="1021" name="Image_1031" descr="Image_1031"/>
        <xdr:cNvPicPr>
          <a:picLocks noChangeAspect="1"/>
        </xdr:cNvPicPr>
      </xdr:nvPicPr>
      <xdr:blipFill>
        <a:blip xmlns:r="http://schemas.openxmlformats.org/officeDocument/2006/relationships" r:embed="rId10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1031</xdr:row>
      <xdr:rowOff>95250</xdr:rowOff>
    </xdr:from>
    <xdr:ext cx="1143000" cy="1143000"/>
    <xdr:pic>
      <xdr:nvPicPr>
        <xdr:cNvPr id="1022" name="Image_1032" descr="Image_1032"/>
        <xdr:cNvPicPr>
          <a:picLocks noChangeAspect="1"/>
        </xdr:cNvPicPr>
      </xdr:nvPicPr>
      <xdr:blipFill>
        <a:blip xmlns:r="http://schemas.openxmlformats.org/officeDocument/2006/relationships" r:embed="rId10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1032</xdr:row>
      <xdr:rowOff>95250</xdr:rowOff>
    </xdr:from>
    <xdr:ext cx="1143000" cy="1143000"/>
    <xdr:pic>
      <xdr:nvPicPr>
        <xdr:cNvPr id="1023" name="Image_1033" descr="Image_1033"/>
        <xdr:cNvPicPr>
          <a:picLocks noChangeAspect="1"/>
        </xdr:cNvPicPr>
      </xdr:nvPicPr>
      <xdr:blipFill>
        <a:blip xmlns:r="http://schemas.openxmlformats.org/officeDocument/2006/relationships" r:embed="rId10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1033</xdr:row>
      <xdr:rowOff>95250</xdr:rowOff>
    </xdr:from>
    <xdr:ext cx="1143000" cy="1143000"/>
    <xdr:pic>
      <xdr:nvPicPr>
        <xdr:cNvPr id="1024" name="Image_1034" descr="Image_1034"/>
        <xdr:cNvPicPr>
          <a:picLocks noChangeAspect="1"/>
        </xdr:cNvPicPr>
      </xdr:nvPicPr>
      <xdr:blipFill>
        <a:blip xmlns:r="http://schemas.openxmlformats.org/officeDocument/2006/relationships" r:embed="rId10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1034</xdr:row>
      <xdr:rowOff>95250</xdr:rowOff>
    </xdr:from>
    <xdr:ext cx="1143000" cy="1143000"/>
    <xdr:pic>
      <xdr:nvPicPr>
        <xdr:cNvPr id="1025" name="Image_1035" descr="Image_1035"/>
        <xdr:cNvPicPr>
          <a:picLocks noChangeAspect="1"/>
        </xdr:cNvPicPr>
      </xdr:nvPicPr>
      <xdr:blipFill>
        <a:blip xmlns:r="http://schemas.openxmlformats.org/officeDocument/2006/relationships" r:embed="rId10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1035</xdr:row>
      <xdr:rowOff>95250</xdr:rowOff>
    </xdr:from>
    <xdr:ext cx="1143000" cy="1143000"/>
    <xdr:pic>
      <xdr:nvPicPr>
        <xdr:cNvPr id="1026" name="Image_1036" descr="Image_1036"/>
        <xdr:cNvPicPr>
          <a:picLocks noChangeAspect="1"/>
        </xdr:cNvPicPr>
      </xdr:nvPicPr>
      <xdr:blipFill>
        <a:blip xmlns:r="http://schemas.openxmlformats.org/officeDocument/2006/relationships" r:embed="rId10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1036</xdr:row>
      <xdr:rowOff>95250</xdr:rowOff>
    </xdr:from>
    <xdr:ext cx="1143000" cy="1143000"/>
    <xdr:pic>
      <xdr:nvPicPr>
        <xdr:cNvPr id="1027" name="Image_1037" descr="Image_1037"/>
        <xdr:cNvPicPr>
          <a:picLocks noChangeAspect="1"/>
        </xdr:cNvPicPr>
      </xdr:nvPicPr>
      <xdr:blipFill>
        <a:blip xmlns:r="http://schemas.openxmlformats.org/officeDocument/2006/relationships" r:embed="rId10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1037</xdr:row>
      <xdr:rowOff>95250</xdr:rowOff>
    </xdr:from>
    <xdr:ext cx="1143000" cy="1143000"/>
    <xdr:pic>
      <xdr:nvPicPr>
        <xdr:cNvPr id="1028" name="Image_1038" descr="Image_1038"/>
        <xdr:cNvPicPr>
          <a:picLocks noChangeAspect="1"/>
        </xdr:cNvPicPr>
      </xdr:nvPicPr>
      <xdr:blipFill>
        <a:blip xmlns:r="http://schemas.openxmlformats.org/officeDocument/2006/relationships" r:embed="rId10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1038</xdr:row>
      <xdr:rowOff>95250</xdr:rowOff>
    </xdr:from>
    <xdr:ext cx="1143000" cy="1143000"/>
    <xdr:pic>
      <xdr:nvPicPr>
        <xdr:cNvPr id="1029" name="Image_1039" descr="Image_1039"/>
        <xdr:cNvPicPr>
          <a:picLocks noChangeAspect="1"/>
        </xdr:cNvPicPr>
      </xdr:nvPicPr>
      <xdr:blipFill>
        <a:blip xmlns:r="http://schemas.openxmlformats.org/officeDocument/2006/relationships" r:embed="rId10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1039</xdr:row>
      <xdr:rowOff>95250</xdr:rowOff>
    </xdr:from>
    <xdr:ext cx="1143000" cy="1143000"/>
    <xdr:pic>
      <xdr:nvPicPr>
        <xdr:cNvPr id="1030" name="Image_1040" descr="Image_1040"/>
        <xdr:cNvPicPr>
          <a:picLocks noChangeAspect="1"/>
        </xdr:cNvPicPr>
      </xdr:nvPicPr>
      <xdr:blipFill>
        <a:blip xmlns:r="http://schemas.openxmlformats.org/officeDocument/2006/relationships" r:embed="rId10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1040</xdr:row>
      <xdr:rowOff>95250</xdr:rowOff>
    </xdr:from>
    <xdr:ext cx="1143000" cy="1143000"/>
    <xdr:pic>
      <xdr:nvPicPr>
        <xdr:cNvPr id="1031" name="Image_1041" descr="Image_1041"/>
        <xdr:cNvPicPr>
          <a:picLocks noChangeAspect="1"/>
        </xdr:cNvPicPr>
      </xdr:nvPicPr>
      <xdr:blipFill>
        <a:blip xmlns:r="http://schemas.openxmlformats.org/officeDocument/2006/relationships" r:embed="rId10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1041</xdr:row>
      <xdr:rowOff>95250</xdr:rowOff>
    </xdr:from>
    <xdr:ext cx="1143000" cy="1143000"/>
    <xdr:pic>
      <xdr:nvPicPr>
        <xdr:cNvPr id="1032" name="Image_1042" descr="Image_1042"/>
        <xdr:cNvPicPr>
          <a:picLocks noChangeAspect="1"/>
        </xdr:cNvPicPr>
      </xdr:nvPicPr>
      <xdr:blipFill>
        <a:blip xmlns:r="http://schemas.openxmlformats.org/officeDocument/2006/relationships" r:embed="rId10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1042</xdr:row>
      <xdr:rowOff>95250</xdr:rowOff>
    </xdr:from>
    <xdr:ext cx="1143000" cy="1143000"/>
    <xdr:pic>
      <xdr:nvPicPr>
        <xdr:cNvPr id="1033" name="Image_1043" descr="Image_1043"/>
        <xdr:cNvPicPr>
          <a:picLocks noChangeAspect="1"/>
        </xdr:cNvPicPr>
      </xdr:nvPicPr>
      <xdr:blipFill>
        <a:blip xmlns:r="http://schemas.openxmlformats.org/officeDocument/2006/relationships" r:embed="rId10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1043</xdr:row>
      <xdr:rowOff>95250</xdr:rowOff>
    </xdr:from>
    <xdr:ext cx="1143000" cy="1143000"/>
    <xdr:pic>
      <xdr:nvPicPr>
        <xdr:cNvPr id="1034" name="Image_1044" descr="Image_1044"/>
        <xdr:cNvPicPr>
          <a:picLocks noChangeAspect="1"/>
        </xdr:cNvPicPr>
      </xdr:nvPicPr>
      <xdr:blipFill>
        <a:blip xmlns:r="http://schemas.openxmlformats.org/officeDocument/2006/relationships" r:embed="rId10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1048</xdr:row>
      <xdr:rowOff>95250</xdr:rowOff>
    </xdr:from>
    <xdr:ext cx="1143000" cy="1143000"/>
    <xdr:pic>
      <xdr:nvPicPr>
        <xdr:cNvPr id="1035" name="Image_1049" descr="Image_1049"/>
        <xdr:cNvPicPr>
          <a:picLocks noChangeAspect="1"/>
        </xdr:cNvPicPr>
      </xdr:nvPicPr>
      <xdr:blipFill>
        <a:blip xmlns:r="http://schemas.openxmlformats.org/officeDocument/2006/relationships" r:embed="rId10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1049</xdr:row>
      <xdr:rowOff>95250</xdr:rowOff>
    </xdr:from>
    <xdr:ext cx="1143000" cy="1143000"/>
    <xdr:pic>
      <xdr:nvPicPr>
        <xdr:cNvPr id="1036" name="Image_1050" descr="Image_1050"/>
        <xdr:cNvPicPr>
          <a:picLocks noChangeAspect="1"/>
        </xdr:cNvPicPr>
      </xdr:nvPicPr>
      <xdr:blipFill>
        <a:blip xmlns:r="http://schemas.openxmlformats.org/officeDocument/2006/relationships" r:embed="rId10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1050</xdr:row>
      <xdr:rowOff>95250</xdr:rowOff>
    </xdr:from>
    <xdr:ext cx="1143000" cy="1143000"/>
    <xdr:pic>
      <xdr:nvPicPr>
        <xdr:cNvPr id="1037" name="Image_1051" descr="Image_1051"/>
        <xdr:cNvPicPr>
          <a:picLocks noChangeAspect="1"/>
        </xdr:cNvPicPr>
      </xdr:nvPicPr>
      <xdr:blipFill>
        <a:blip xmlns:r="http://schemas.openxmlformats.org/officeDocument/2006/relationships" r:embed="rId10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1051</xdr:row>
      <xdr:rowOff>95250</xdr:rowOff>
    </xdr:from>
    <xdr:ext cx="1143000" cy="1143000"/>
    <xdr:pic>
      <xdr:nvPicPr>
        <xdr:cNvPr id="1038" name="Image_1052" descr="Image_1052"/>
        <xdr:cNvPicPr>
          <a:picLocks noChangeAspect="1"/>
        </xdr:cNvPicPr>
      </xdr:nvPicPr>
      <xdr:blipFill>
        <a:blip xmlns:r="http://schemas.openxmlformats.org/officeDocument/2006/relationships" r:embed="rId10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1052</xdr:row>
      <xdr:rowOff>95250</xdr:rowOff>
    </xdr:from>
    <xdr:ext cx="1143000" cy="1143000"/>
    <xdr:pic>
      <xdr:nvPicPr>
        <xdr:cNvPr id="1039" name="Image_1053" descr="Image_1053"/>
        <xdr:cNvPicPr>
          <a:picLocks noChangeAspect="1"/>
        </xdr:cNvPicPr>
      </xdr:nvPicPr>
      <xdr:blipFill>
        <a:blip xmlns:r="http://schemas.openxmlformats.org/officeDocument/2006/relationships" r:embed="rId10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1053</xdr:row>
      <xdr:rowOff>95250</xdr:rowOff>
    </xdr:from>
    <xdr:ext cx="1143000" cy="1143000"/>
    <xdr:pic>
      <xdr:nvPicPr>
        <xdr:cNvPr id="1040" name="Image_1054" descr="Image_1054"/>
        <xdr:cNvPicPr>
          <a:picLocks noChangeAspect="1"/>
        </xdr:cNvPicPr>
      </xdr:nvPicPr>
      <xdr:blipFill>
        <a:blip xmlns:r="http://schemas.openxmlformats.org/officeDocument/2006/relationships" r:embed="rId10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1054</xdr:row>
      <xdr:rowOff>95250</xdr:rowOff>
    </xdr:from>
    <xdr:ext cx="1143000" cy="1143000"/>
    <xdr:pic>
      <xdr:nvPicPr>
        <xdr:cNvPr id="1041" name="Image_1055" descr="Image_1055"/>
        <xdr:cNvPicPr>
          <a:picLocks noChangeAspect="1"/>
        </xdr:cNvPicPr>
      </xdr:nvPicPr>
      <xdr:blipFill>
        <a:blip xmlns:r="http://schemas.openxmlformats.org/officeDocument/2006/relationships" r:embed="rId10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1055</xdr:row>
      <xdr:rowOff>95250</xdr:rowOff>
    </xdr:from>
    <xdr:ext cx="1143000" cy="1143000"/>
    <xdr:pic>
      <xdr:nvPicPr>
        <xdr:cNvPr id="1042" name="Image_1056" descr="Image_1056"/>
        <xdr:cNvPicPr>
          <a:picLocks noChangeAspect="1"/>
        </xdr:cNvPicPr>
      </xdr:nvPicPr>
      <xdr:blipFill>
        <a:blip xmlns:r="http://schemas.openxmlformats.org/officeDocument/2006/relationships" r:embed="rId10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1056</xdr:row>
      <xdr:rowOff>95250</xdr:rowOff>
    </xdr:from>
    <xdr:ext cx="1143000" cy="1143000"/>
    <xdr:pic>
      <xdr:nvPicPr>
        <xdr:cNvPr id="1043" name="Image_1057" descr="Image_1057"/>
        <xdr:cNvPicPr>
          <a:picLocks noChangeAspect="1"/>
        </xdr:cNvPicPr>
      </xdr:nvPicPr>
      <xdr:blipFill>
        <a:blip xmlns:r="http://schemas.openxmlformats.org/officeDocument/2006/relationships" r:embed="rId10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1057</xdr:row>
      <xdr:rowOff>95250</xdr:rowOff>
    </xdr:from>
    <xdr:ext cx="1143000" cy="1143000"/>
    <xdr:pic>
      <xdr:nvPicPr>
        <xdr:cNvPr id="1044" name="Image_1058" descr="Image_1058"/>
        <xdr:cNvPicPr>
          <a:picLocks noChangeAspect="1"/>
        </xdr:cNvPicPr>
      </xdr:nvPicPr>
      <xdr:blipFill>
        <a:blip xmlns:r="http://schemas.openxmlformats.org/officeDocument/2006/relationships" r:embed="rId10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1058</xdr:row>
      <xdr:rowOff>95250</xdr:rowOff>
    </xdr:from>
    <xdr:ext cx="1143000" cy="1143000"/>
    <xdr:pic>
      <xdr:nvPicPr>
        <xdr:cNvPr id="1045" name="Image_1059" descr="Image_1059"/>
        <xdr:cNvPicPr>
          <a:picLocks noChangeAspect="1"/>
        </xdr:cNvPicPr>
      </xdr:nvPicPr>
      <xdr:blipFill>
        <a:blip xmlns:r="http://schemas.openxmlformats.org/officeDocument/2006/relationships" r:embed="rId10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1059</xdr:row>
      <xdr:rowOff>95250</xdr:rowOff>
    </xdr:from>
    <xdr:ext cx="1143000" cy="1143000"/>
    <xdr:pic>
      <xdr:nvPicPr>
        <xdr:cNvPr id="1046" name="Image_1060" descr="Image_1060"/>
        <xdr:cNvPicPr>
          <a:picLocks noChangeAspect="1"/>
        </xdr:cNvPicPr>
      </xdr:nvPicPr>
      <xdr:blipFill>
        <a:blip xmlns:r="http://schemas.openxmlformats.org/officeDocument/2006/relationships" r:embed="rId10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1060</xdr:row>
      <xdr:rowOff>95250</xdr:rowOff>
    </xdr:from>
    <xdr:ext cx="1143000" cy="1143000"/>
    <xdr:pic>
      <xdr:nvPicPr>
        <xdr:cNvPr id="1047" name="Image_1061" descr="Image_1061"/>
        <xdr:cNvPicPr>
          <a:picLocks noChangeAspect="1"/>
        </xdr:cNvPicPr>
      </xdr:nvPicPr>
      <xdr:blipFill>
        <a:blip xmlns:r="http://schemas.openxmlformats.org/officeDocument/2006/relationships" r:embed="rId10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1061</xdr:row>
      <xdr:rowOff>95250</xdr:rowOff>
    </xdr:from>
    <xdr:ext cx="1143000" cy="1143000"/>
    <xdr:pic>
      <xdr:nvPicPr>
        <xdr:cNvPr id="1048" name="Image_1062" descr="Image_1062"/>
        <xdr:cNvPicPr>
          <a:picLocks noChangeAspect="1"/>
        </xdr:cNvPicPr>
      </xdr:nvPicPr>
      <xdr:blipFill>
        <a:blip xmlns:r="http://schemas.openxmlformats.org/officeDocument/2006/relationships" r:embed="rId10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1062</xdr:row>
      <xdr:rowOff>95250</xdr:rowOff>
    </xdr:from>
    <xdr:ext cx="1143000" cy="1143000"/>
    <xdr:pic>
      <xdr:nvPicPr>
        <xdr:cNvPr id="1049" name="Image_1063" descr="Image_1063"/>
        <xdr:cNvPicPr>
          <a:picLocks noChangeAspect="1"/>
        </xdr:cNvPicPr>
      </xdr:nvPicPr>
      <xdr:blipFill>
        <a:blip xmlns:r="http://schemas.openxmlformats.org/officeDocument/2006/relationships" r:embed="rId10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1063</xdr:row>
      <xdr:rowOff>95250</xdr:rowOff>
    </xdr:from>
    <xdr:ext cx="1143000" cy="1143000"/>
    <xdr:pic>
      <xdr:nvPicPr>
        <xdr:cNvPr id="1050" name="Image_1064" descr="Image_1064"/>
        <xdr:cNvPicPr>
          <a:picLocks noChangeAspect="1"/>
        </xdr:cNvPicPr>
      </xdr:nvPicPr>
      <xdr:blipFill>
        <a:blip xmlns:r="http://schemas.openxmlformats.org/officeDocument/2006/relationships" r:embed="rId10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1064</xdr:row>
      <xdr:rowOff>95250</xdr:rowOff>
    </xdr:from>
    <xdr:ext cx="1143000" cy="1143000"/>
    <xdr:pic>
      <xdr:nvPicPr>
        <xdr:cNvPr id="1051" name="Image_1065" descr="Image_1065"/>
        <xdr:cNvPicPr>
          <a:picLocks noChangeAspect="1"/>
        </xdr:cNvPicPr>
      </xdr:nvPicPr>
      <xdr:blipFill>
        <a:blip xmlns:r="http://schemas.openxmlformats.org/officeDocument/2006/relationships" r:embed="rId10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1065</xdr:row>
      <xdr:rowOff>95250</xdr:rowOff>
    </xdr:from>
    <xdr:ext cx="1143000" cy="1143000"/>
    <xdr:pic>
      <xdr:nvPicPr>
        <xdr:cNvPr id="1052" name="Image_1066" descr="Image_1066"/>
        <xdr:cNvPicPr>
          <a:picLocks noChangeAspect="1"/>
        </xdr:cNvPicPr>
      </xdr:nvPicPr>
      <xdr:blipFill>
        <a:blip xmlns:r="http://schemas.openxmlformats.org/officeDocument/2006/relationships" r:embed="rId10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1066</xdr:row>
      <xdr:rowOff>95250</xdr:rowOff>
    </xdr:from>
    <xdr:ext cx="1143000" cy="1143000"/>
    <xdr:pic>
      <xdr:nvPicPr>
        <xdr:cNvPr id="1053" name="Image_1067" descr="Image_1067"/>
        <xdr:cNvPicPr>
          <a:picLocks noChangeAspect="1"/>
        </xdr:cNvPicPr>
      </xdr:nvPicPr>
      <xdr:blipFill>
        <a:blip xmlns:r="http://schemas.openxmlformats.org/officeDocument/2006/relationships" r:embed="rId10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1067</xdr:row>
      <xdr:rowOff>95250</xdr:rowOff>
    </xdr:from>
    <xdr:ext cx="1143000" cy="1143000"/>
    <xdr:pic>
      <xdr:nvPicPr>
        <xdr:cNvPr id="1054" name="Image_1068" descr="Image_1068"/>
        <xdr:cNvPicPr>
          <a:picLocks noChangeAspect="1"/>
        </xdr:cNvPicPr>
      </xdr:nvPicPr>
      <xdr:blipFill>
        <a:blip xmlns:r="http://schemas.openxmlformats.org/officeDocument/2006/relationships" r:embed="rId10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1068</xdr:row>
      <xdr:rowOff>95250</xdr:rowOff>
    </xdr:from>
    <xdr:ext cx="1143000" cy="1143000"/>
    <xdr:pic>
      <xdr:nvPicPr>
        <xdr:cNvPr id="1055" name="Image_1069" descr="Image_1069"/>
        <xdr:cNvPicPr>
          <a:picLocks noChangeAspect="1"/>
        </xdr:cNvPicPr>
      </xdr:nvPicPr>
      <xdr:blipFill>
        <a:blip xmlns:r="http://schemas.openxmlformats.org/officeDocument/2006/relationships" r:embed="rId10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1069</xdr:row>
      <xdr:rowOff>95250</xdr:rowOff>
    </xdr:from>
    <xdr:ext cx="1143000" cy="1143000"/>
    <xdr:pic>
      <xdr:nvPicPr>
        <xdr:cNvPr id="1056" name="Image_1070" descr="Image_1070"/>
        <xdr:cNvPicPr>
          <a:picLocks noChangeAspect="1"/>
        </xdr:cNvPicPr>
      </xdr:nvPicPr>
      <xdr:blipFill>
        <a:blip xmlns:r="http://schemas.openxmlformats.org/officeDocument/2006/relationships" r:embed="rId10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1070</xdr:row>
      <xdr:rowOff>95250</xdr:rowOff>
    </xdr:from>
    <xdr:ext cx="1143000" cy="1143000"/>
    <xdr:pic>
      <xdr:nvPicPr>
        <xdr:cNvPr id="1057" name="Image_1071" descr="Image_1071"/>
        <xdr:cNvPicPr>
          <a:picLocks noChangeAspect="1"/>
        </xdr:cNvPicPr>
      </xdr:nvPicPr>
      <xdr:blipFill>
        <a:blip xmlns:r="http://schemas.openxmlformats.org/officeDocument/2006/relationships" r:embed="rId10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1071</xdr:row>
      <xdr:rowOff>95250</xdr:rowOff>
    </xdr:from>
    <xdr:ext cx="1143000" cy="1143000"/>
    <xdr:pic>
      <xdr:nvPicPr>
        <xdr:cNvPr id="1058" name="Image_1072" descr="Image_1072"/>
        <xdr:cNvPicPr>
          <a:picLocks noChangeAspect="1"/>
        </xdr:cNvPicPr>
      </xdr:nvPicPr>
      <xdr:blipFill>
        <a:blip xmlns:r="http://schemas.openxmlformats.org/officeDocument/2006/relationships" r:embed="rId10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1072</xdr:row>
      <xdr:rowOff>95250</xdr:rowOff>
    </xdr:from>
    <xdr:ext cx="1143000" cy="1143000"/>
    <xdr:pic>
      <xdr:nvPicPr>
        <xdr:cNvPr id="1059" name="Image_1073" descr="Image_1073"/>
        <xdr:cNvPicPr>
          <a:picLocks noChangeAspect="1"/>
        </xdr:cNvPicPr>
      </xdr:nvPicPr>
      <xdr:blipFill>
        <a:blip xmlns:r="http://schemas.openxmlformats.org/officeDocument/2006/relationships" r:embed="rId10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1073</xdr:row>
      <xdr:rowOff>95250</xdr:rowOff>
    </xdr:from>
    <xdr:ext cx="1143000" cy="1143000"/>
    <xdr:pic>
      <xdr:nvPicPr>
        <xdr:cNvPr id="1060" name="Image_1074" descr="Image_1074"/>
        <xdr:cNvPicPr>
          <a:picLocks noChangeAspect="1"/>
        </xdr:cNvPicPr>
      </xdr:nvPicPr>
      <xdr:blipFill>
        <a:blip xmlns:r="http://schemas.openxmlformats.org/officeDocument/2006/relationships" r:embed="rId10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1074</xdr:row>
      <xdr:rowOff>95250</xdr:rowOff>
    </xdr:from>
    <xdr:ext cx="1143000" cy="1143000"/>
    <xdr:pic>
      <xdr:nvPicPr>
        <xdr:cNvPr id="1061" name="Image_1075" descr="Image_1075"/>
        <xdr:cNvPicPr>
          <a:picLocks noChangeAspect="1"/>
        </xdr:cNvPicPr>
      </xdr:nvPicPr>
      <xdr:blipFill>
        <a:blip xmlns:r="http://schemas.openxmlformats.org/officeDocument/2006/relationships" r:embed="rId10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1075</xdr:row>
      <xdr:rowOff>95250</xdr:rowOff>
    </xdr:from>
    <xdr:ext cx="1143000" cy="1143000"/>
    <xdr:pic>
      <xdr:nvPicPr>
        <xdr:cNvPr id="1062" name="Image_1076" descr="Image_1076"/>
        <xdr:cNvPicPr>
          <a:picLocks noChangeAspect="1"/>
        </xdr:cNvPicPr>
      </xdr:nvPicPr>
      <xdr:blipFill>
        <a:blip xmlns:r="http://schemas.openxmlformats.org/officeDocument/2006/relationships" r:embed="rId10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1076</xdr:row>
      <xdr:rowOff>95250</xdr:rowOff>
    </xdr:from>
    <xdr:ext cx="1143000" cy="1143000"/>
    <xdr:pic>
      <xdr:nvPicPr>
        <xdr:cNvPr id="1063" name="Image_1077" descr="Image_1077"/>
        <xdr:cNvPicPr>
          <a:picLocks noChangeAspect="1"/>
        </xdr:cNvPicPr>
      </xdr:nvPicPr>
      <xdr:blipFill>
        <a:blip xmlns:r="http://schemas.openxmlformats.org/officeDocument/2006/relationships" r:embed="rId10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1077</xdr:row>
      <xdr:rowOff>95250</xdr:rowOff>
    </xdr:from>
    <xdr:ext cx="1143000" cy="1143000"/>
    <xdr:pic>
      <xdr:nvPicPr>
        <xdr:cNvPr id="1064" name="Image_1078" descr="Image_1078"/>
        <xdr:cNvPicPr>
          <a:picLocks noChangeAspect="1"/>
        </xdr:cNvPicPr>
      </xdr:nvPicPr>
      <xdr:blipFill>
        <a:blip xmlns:r="http://schemas.openxmlformats.org/officeDocument/2006/relationships" r:embed="rId10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1078</xdr:row>
      <xdr:rowOff>95250</xdr:rowOff>
    </xdr:from>
    <xdr:ext cx="1143000" cy="1143000"/>
    <xdr:pic>
      <xdr:nvPicPr>
        <xdr:cNvPr id="1065" name="Image_1079" descr="Image_1079"/>
        <xdr:cNvPicPr>
          <a:picLocks noChangeAspect="1"/>
        </xdr:cNvPicPr>
      </xdr:nvPicPr>
      <xdr:blipFill>
        <a:blip xmlns:r="http://schemas.openxmlformats.org/officeDocument/2006/relationships" r:embed="rId10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1079</xdr:row>
      <xdr:rowOff>95250</xdr:rowOff>
    </xdr:from>
    <xdr:ext cx="1143000" cy="1143000"/>
    <xdr:pic>
      <xdr:nvPicPr>
        <xdr:cNvPr id="1066" name="Image_1080" descr="Image_1080"/>
        <xdr:cNvPicPr>
          <a:picLocks noChangeAspect="1"/>
        </xdr:cNvPicPr>
      </xdr:nvPicPr>
      <xdr:blipFill>
        <a:blip xmlns:r="http://schemas.openxmlformats.org/officeDocument/2006/relationships" r:embed="rId10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1080</xdr:row>
      <xdr:rowOff>95250</xdr:rowOff>
    </xdr:from>
    <xdr:ext cx="1143000" cy="1143000"/>
    <xdr:pic>
      <xdr:nvPicPr>
        <xdr:cNvPr id="1067" name="Image_1081" descr="Image_1081"/>
        <xdr:cNvPicPr>
          <a:picLocks noChangeAspect="1"/>
        </xdr:cNvPicPr>
      </xdr:nvPicPr>
      <xdr:blipFill>
        <a:blip xmlns:r="http://schemas.openxmlformats.org/officeDocument/2006/relationships" r:embed="rId10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1081</xdr:row>
      <xdr:rowOff>95250</xdr:rowOff>
    </xdr:from>
    <xdr:ext cx="1143000" cy="1143000"/>
    <xdr:pic>
      <xdr:nvPicPr>
        <xdr:cNvPr id="1068" name="Image_1082" descr="Image_1082"/>
        <xdr:cNvPicPr>
          <a:picLocks noChangeAspect="1"/>
        </xdr:cNvPicPr>
      </xdr:nvPicPr>
      <xdr:blipFill>
        <a:blip xmlns:r="http://schemas.openxmlformats.org/officeDocument/2006/relationships" r:embed="rId10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1082</xdr:row>
      <xdr:rowOff>95250</xdr:rowOff>
    </xdr:from>
    <xdr:ext cx="1143000" cy="1143000"/>
    <xdr:pic>
      <xdr:nvPicPr>
        <xdr:cNvPr id="1069" name="Image_1083" descr="Image_1083"/>
        <xdr:cNvPicPr>
          <a:picLocks noChangeAspect="1"/>
        </xdr:cNvPicPr>
      </xdr:nvPicPr>
      <xdr:blipFill>
        <a:blip xmlns:r="http://schemas.openxmlformats.org/officeDocument/2006/relationships" r:embed="rId10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1083</xdr:row>
      <xdr:rowOff>95250</xdr:rowOff>
    </xdr:from>
    <xdr:ext cx="1143000" cy="1143000"/>
    <xdr:pic>
      <xdr:nvPicPr>
        <xdr:cNvPr id="1070" name="Image_1084" descr="Image_1084"/>
        <xdr:cNvPicPr>
          <a:picLocks noChangeAspect="1"/>
        </xdr:cNvPicPr>
      </xdr:nvPicPr>
      <xdr:blipFill>
        <a:blip xmlns:r="http://schemas.openxmlformats.org/officeDocument/2006/relationships" r:embed="rId10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1084</xdr:row>
      <xdr:rowOff>95250</xdr:rowOff>
    </xdr:from>
    <xdr:ext cx="1143000" cy="1143000"/>
    <xdr:pic>
      <xdr:nvPicPr>
        <xdr:cNvPr id="1071" name="Image_1085" descr="Image_1085"/>
        <xdr:cNvPicPr>
          <a:picLocks noChangeAspect="1"/>
        </xdr:cNvPicPr>
      </xdr:nvPicPr>
      <xdr:blipFill>
        <a:blip xmlns:r="http://schemas.openxmlformats.org/officeDocument/2006/relationships" r:embed="rId10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1085</xdr:row>
      <xdr:rowOff>95250</xdr:rowOff>
    </xdr:from>
    <xdr:ext cx="1143000" cy="1143000"/>
    <xdr:pic>
      <xdr:nvPicPr>
        <xdr:cNvPr id="1072" name="Image_1086" descr="Image_1086"/>
        <xdr:cNvPicPr>
          <a:picLocks noChangeAspect="1"/>
        </xdr:cNvPicPr>
      </xdr:nvPicPr>
      <xdr:blipFill>
        <a:blip xmlns:r="http://schemas.openxmlformats.org/officeDocument/2006/relationships" r:embed="rId10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1086</xdr:row>
      <xdr:rowOff>95250</xdr:rowOff>
    </xdr:from>
    <xdr:ext cx="1143000" cy="1143000"/>
    <xdr:pic>
      <xdr:nvPicPr>
        <xdr:cNvPr id="1073" name="Image_1087" descr="Image_1087"/>
        <xdr:cNvPicPr>
          <a:picLocks noChangeAspect="1"/>
        </xdr:cNvPicPr>
      </xdr:nvPicPr>
      <xdr:blipFill>
        <a:blip xmlns:r="http://schemas.openxmlformats.org/officeDocument/2006/relationships" r:embed="rId10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1088</xdr:row>
      <xdr:rowOff>95250</xdr:rowOff>
    </xdr:from>
    <xdr:ext cx="1143000" cy="1143000"/>
    <xdr:pic>
      <xdr:nvPicPr>
        <xdr:cNvPr id="1074" name="Image_1089" descr="Image_1089"/>
        <xdr:cNvPicPr>
          <a:picLocks noChangeAspect="1"/>
        </xdr:cNvPicPr>
      </xdr:nvPicPr>
      <xdr:blipFill>
        <a:blip xmlns:r="http://schemas.openxmlformats.org/officeDocument/2006/relationships" r:embed="rId10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1089</xdr:row>
      <xdr:rowOff>95250</xdr:rowOff>
    </xdr:from>
    <xdr:ext cx="1143000" cy="1143000"/>
    <xdr:pic>
      <xdr:nvPicPr>
        <xdr:cNvPr id="1075" name="Image_1090" descr="Image_1090"/>
        <xdr:cNvPicPr>
          <a:picLocks noChangeAspect="1"/>
        </xdr:cNvPicPr>
      </xdr:nvPicPr>
      <xdr:blipFill>
        <a:blip xmlns:r="http://schemas.openxmlformats.org/officeDocument/2006/relationships" r:embed="rId10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1090</xdr:row>
      <xdr:rowOff>95250</xdr:rowOff>
    </xdr:from>
    <xdr:ext cx="1143000" cy="1143000"/>
    <xdr:pic>
      <xdr:nvPicPr>
        <xdr:cNvPr id="1076" name="Image_1091" descr="Image_1091"/>
        <xdr:cNvPicPr>
          <a:picLocks noChangeAspect="1"/>
        </xdr:cNvPicPr>
      </xdr:nvPicPr>
      <xdr:blipFill>
        <a:blip xmlns:r="http://schemas.openxmlformats.org/officeDocument/2006/relationships" r:embed="rId10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1091</xdr:row>
      <xdr:rowOff>95250</xdr:rowOff>
    </xdr:from>
    <xdr:ext cx="1143000" cy="1143000"/>
    <xdr:pic>
      <xdr:nvPicPr>
        <xdr:cNvPr id="1077" name="Image_1092" descr="Image_1092"/>
        <xdr:cNvPicPr>
          <a:picLocks noChangeAspect="1"/>
        </xdr:cNvPicPr>
      </xdr:nvPicPr>
      <xdr:blipFill>
        <a:blip xmlns:r="http://schemas.openxmlformats.org/officeDocument/2006/relationships" r:embed="rId10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1092</xdr:row>
      <xdr:rowOff>95250</xdr:rowOff>
    </xdr:from>
    <xdr:ext cx="1143000" cy="1143000"/>
    <xdr:pic>
      <xdr:nvPicPr>
        <xdr:cNvPr id="1078" name="Image_1093" descr="Image_1093"/>
        <xdr:cNvPicPr>
          <a:picLocks noChangeAspect="1"/>
        </xdr:cNvPicPr>
      </xdr:nvPicPr>
      <xdr:blipFill>
        <a:blip xmlns:r="http://schemas.openxmlformats.org/officeDocument/2006/relationships" r:embed="rId10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1093</xdr:row>
      <xdr:rowOff>95250</xdr:rowOff>
    </xdr:from>
    <xdr:ext cx="1143000" cy="1143000"/>
    <xdr:pic>
      <xdr:nvPicPr>
        <xdr:cNvPr id="1079" name="Image_1094" descr="Image_1094"/>
        <xdr:cNvPicPr>
          <a:picLocks noChangeAspect="1"/>
        </xdr:cNvPicPr>
      </xdr:nvPicPr>
      <xdr:blipFill>
        <a:blip xmlns:r="http://schemas.openxmlformats.org/officeDocument/2006/relationships" r:embed="rId10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1094</xdr:row>
      <xdr:rowOff>95250</xdr:rowOff>
    </xdr:from>
    <xdr:ext cx="1143000" cy="1143000"/>
    <xdr:pic>
      <xdr:nvPicPr>
        <xdr:cNvPr id="1080" name="Image_1095" descr="Image_1095"/>
        <xdr:cNvPicPr>
          <a:picLocks noChangeAspect="1"/>
        </xdr:cNvPicPr>
      </xdr:nvPicPr>
      <xdr:blipFill>
        <a:blip xmlns:r="http://schemas.openxmlformats.org/officeDocument/2006/relationships" r:embed="rId10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1095</xdr:row>
      <xdr:rowOff>95250</xdr:rowOff>
    </xdr:from>
    <xdr:ext cx="1143000" cy="1143000"/>
    <xdr:pic>
      <xdr:nvPicPr>
        <xdr:cNvPr id="1081" name="Image_1096" descr="Image_1096"/>
        <xdr:cNvPicPr>
          <a:picLocks noChangeAspect="1"/>
        </xdr:cNvPicPr>
      </xdr:nvPicPr>
      <xdr:blipFill>
        <a:blip xmlns:r="http://schemas.openxmlformats.org/officeDocument/2006/relationships" r:embed="rId10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1096</xdr:row>
      <xdr:rowOff>95250</xdr:rowOff>
    </xdr:from>
    <xdr:ext cx="1143000" cy="1143000"/>
    <xdr:pic>
      <xdr:nvPicPr>
        <xdr:cNvPr id="1082" name="Image_1097" descr="Image_1097"/>
        <xdr:cNvPicPr>
          <a:picLocks noChangeAspect="1"/>
        </xdr:cNvPicPr>
      </xdr:nvPicPr>
      <xdr:blipFill>
        <a:blip xmlns:r="http://schemas.openxmlformats.org/officeDocument/2006/relationships" r:embed="rId10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1097</xdr:row>
      <xdr:rowOff>95250</xdr:rowOff>
    </xdr:from>
    <xdr:ext cx="1143000" cy="1143000"/>
    <xdr:pic>
      <xdr:nvPicPr>
        <xdr:cNvPr id="1083" name="Image_1098" descr="Image_1098"/>
        <xdr:cNvPicPr>
          <a:picLocks noChangeAspect="1"/>
        </xdr:cNvPicPr>
      </xdr:nvPicPr>
      <xdr:blipFill>
        <a:blip xmlns:r="http://schemas.openxmlformats.org/officeDocument/2006/relationships" r:embed="rId10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1098</xdr:row>
      <xdr:rowOff>95250</xdr:rowOff>
    </xdr:from>
    <xdr:ext cx="1143000" cy="1143000"/>
    <xdr:pic>
      <xdr:nvPicPr>
        <xdr:cNvPr id="1084" name="Image_1099" descr="Image_1099"/>
        <xdr:cNvPicPr>
          <a:picLocks noChangeAspect="1"/>
        </xdr:cNvPicPr>
      </xdr:nvPicPr>
      <xdr:blipFill>
        <a:blip xmlns:r="http://schemas.openxmlformats.org/officeDocument/2006/relationships" r:embed="rId10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1099</xdr:row>
      <xdr:rowOff>95250</xdr:rowOff>
    </xdr:from>
    <xdr:ext cx="1143000" cy="1143000"/>
    <xdr:pic>
      <xdr:nvPicPr>
        <xdr:cNvPr id="1085" name="Image_1100" descr="Image_1100"/>
        <xdr:cNvPicPr>
          <a:picLocks noChangeAspect="1"/>
        </xdr:cNvPicPr>
      </xdr:nvPicPr>
      <xdr:blipFill>
        <a:blip xmlns:r="http://schemas.openxmlformats.org/officeDocument/2006/relationships" r:embed="rId10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1100</xdr:row>
      <xdr:rowOff>95250</xdr:rowOff>
    </xdr:from>
    <xdr:ext cx="1143000" cy="1143000"/>
    <xdr:pic>
      <xdr:nvPicPr>
        <xdr:cNvPr id="1086" name="Image_1101" descr="Image_1101"/>
        <xdr:cNvPicPr>
          <a:picLocks noChangeAspect="1"/>
        </xdr:cNvPicPr>
      </xdr:nvPicPr>
      <xdr:blipFill>
        <a:blip xmlns:r="http://schemas.openxmlformats.org/officeDocument/2006/relationships" r:embed="rId10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1101</xdr:row>
      <xdr:rowOff>95250</xdr:rowOff>
    </xdr:from>
    <xdr:ext cx="1143000" cy="1143000"/>
    <xdr:pic>
      <xdr:nvPicPr>
        <xdr:cNvPr id="1087" name="Image_1102" descr="Image_1102"/>
        <xdr:cNvPicPr>
          <a:picLocks noChangeAspect="1"/>
        </xdr:cNvPicPr>
      </xdr:nvPicPr>
      <xdr:blipFill>
        <a:blip xmlns:r="http://schemas.openxmlformats.org/officeDocument/2006/relationships" r:embed="rId10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1102</xdr:row>
      <xdr:rowOff>95250</xdr:rowOff>
    </xdr:from>
    <xdr:ext cx="1143000" cy="1143000"/>
    <xdr:pic>
      <xdr:nvPicPr>
        <xdr:cNvPr id="1088" name="Image_1103" descr="Image_1103"/>
        <xdr:cNvPicPr>
          <a:picLocks noChangeAspect="1"/>
        </xdr:cNvPicPr>
      </xdr:nvPicPr>
      <xdr:blipFill>
        <a:blip xmlns:r="http://schemas.openxmlformats.org/officeDocument/2006/relationships" r:embed="rId10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1103</xdr:row>
      <xdr:rowOff>95250</xdr:rowOff>
    </xdr:from>
    <xdr:ext cx="1143000" cy="1143000"/>
    <xdr:pic>
      <xdr:nvPicPr>
        <xdr:cNvPr id="1089" name="Image_1104" descr="Image_1104"/>
        <xdr:cNvPicPr>
          <a:picLocks noChangeAspect="1"/>
        </xdr:cNvPicPr>
      </xdr:nvPicPr>
      <xdr:blipFill>
        <a:blip xmlns:r="http://schemas.openxmlformats.org/officeDocument/2006/relationships" r:embed="rId10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1104</xdr:row>
      <xdr:rowOff>95250</xdr:rowOff>
    </xdr:from>
    <xdr:ext cx="1143000" cy="1143000"/>
    <xdr:pic>
      <xdr:nvPicPr>
        <xdr:cNvPr id="1090" name="Image_1105" descr="Image_1105"/>
        <xdr:cNvPicPr>
          <a:picLocks noChangeAspect="1"/>
        </xdr:cNvPicPr>
      </xdr:nvPicPr>
      <xdr:blipFill>
        <a:blip xmlns:r="http://schemas.openxmlformats.org/officeDocument/2006/relationships" r:embed="rId10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1105</xdr:row>
      <xdr:rowOff>95250</xdr:rowOff>
    </xdr:from>
    <xdr:ext cx="1143000" cy="1143000"/>
    <xdr:pic>
      <xdr:nvPicPr>
        <xdr:cNvPr id="1091" name="Image_1106" descr="Image_1106"/>
        <xdr:cNvPicPr>
          <a:picLocks noChangeAspect="1"/>
        </xdr:cNvPicPr>
      </xdr:nvPicPr>
      <xdr:blipFill>
        <a:blip xmlns:r="http://schemas.openxmlformats.org/officeDocument/2006/relationships" r:embed="rId10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1106</xdr:row>
      <xdr:rowOff>95250</xdr:rowOff>
    </xdr:from>
    <xdr:ext cx="1143000" cy="1143000"/>
    <xdr:pic>
      <xdr:nvPicPr>
        <xdr:cNvPr id="1092" name="Image_1107" descr="Image_1107"/>
        <xdr:cNvPicPr>
          <a:picLocks noChangeAspect="1"/>
        </xdr:cNvPicPr>
      </xdr:nvPicPr>
      <xdr:blipFill>
        <a:blip xmlns:r="http://schemas.openxmlformats.org/officeDocument/2006/relationships" r:embed="rId10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1107</xdr:row>
      <xdr:rowOff>95250</xdr:rowOff>
    </xdr:from>
    <xdr:ext cx="1143000" cy="1143000"/>
    <xdr:pic>
      <xdr:nvPicPr>
        <xdr:cNvPr id="1093" name="Image_1108" descr="Image_1108"/>
        <xdr:cNvPicPr>
          <a:picLocks noChangeAspect="1"/>
        </xdr:cNvPicPr>
      </xdr:nvPicPr>
      <xdr:blipFill>
        <a:blip xmlns:r="http://schemas.openxmlformats.org/officeDocument/2006/relationships" r:embed="rId10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1108</xdr:row>
      <xdr:rowOff>95250</xdr:rowOff>
    </xdr:from>
    <xdr:ext cx="1143000" cy="1143000"/>
    <xdr:pic>
      <xdr:nvPicPr>
        <xdr:cNvPr id="1094" name="Image_1109" descr="Image_1109"/>
        <xdr:cNvPicPr>
          <a:picLocks noChangeAspect="1"/>
        </xdr:cNvPicPr>
      </xdr:nvPicPr>
      <xdr:blipFill>
        <a:blip xmlns:r="http://schemas.openxmlformats.org/officeDocument/2006/relationships" r:embed="rId10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1109</xdr:row>
      <xdr:rowOff>95250</xdr:rowOff>
    </xdr:from>
    <xdr:ext cx="1143000" cy="1143000"/>
    <xdr:pic>
      <xdr:nvPicPr>
        <xdr:cNvPr id="1095" name="Image_1110" descr="Image_1110"/>
        <xdr:cNvPicPr>
          <a:picLocks noChangeAspect="1"/>
        </xdr:cNvPicPr>
      </xdr:nvPicPr>
      <xdr:blipFill>
        <a:blip xmlns:r="http://schemas.openxmlformats.org/officeDocument/2006/relationships" r:embed="rId10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1110</xdr:row>
      <xdr:rowOff>95250</xdr:rowOff>
    </xdr:from>
    <xdr:ext cx="1143000" cy="1143000"/>
    <xdr:pic>
      <xdr:nvPicPr>
        <xdr:cNvPr id="1096" name="Image_1111" descr="Image_1111"/>
        <xdr:cNvPicPr>
          <a:picLocks noChangeAspect="1"/>
        </xdr:cNvPicPr>
      </xdr:nvPicPr>
      <xdr:blipFill>
        <a:blip xmlns:r="http://schemas.openxmlformats.org/officeDocument/2006/relationships" r:embed="rId10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1111</xdr:row>
      <xdr:rowOff>95250</xdr:rowOff>
    </xdr:from>
    <xdr:ext cx="1143000" cy="1143000"/>
    <xdr:pic>
      <xdr:nvPicPr>
        <xdr:cNvPr id="1097" name="Image_1112" descr="Image_1112"/>
        <xdr:cNvPicPr>
          <a:picLocks noChangeAspect="1"/>
        </xdr:cNvPicPr>
      </xdr:nvPicPr>
      <xdr:blipFill>
        <a:blip xmlns:r="http://schemas.openxmlformats.org/officeDocument/2006/relationships" r:embed="rId10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1112</xdr:row>
      <xdr:rowOff>95250</xdr:rowOff>
    </xdr:from>
    <xdr:ext cx="1143000" cy="1143000"/>
    <xdr:pic>
      <xdr:nvPicPr>
        <xdr:cNvPr id="1098" name="Image_1113" descr="Image_1113"/>
        <xdr:cNvPicPr>
          <a:picLocks noChangeAspect="1"/>
        </xdr:cNvPicPr>
      </xdr:nvPicPr>
      <xdr:blipFill>
        <a:blip xmlns:r="http://schemas.openxmlformats.org/officeDocument/2006/relationships" r:embed="rId10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1113</xdr:row>
      <xdr:rowOff>95250</xdr:rowOff>
    </xdr:from>
    <xdr:ext cx="1143000" cy="1143000"/>
    <xdr:pic>
      <xdr:nvPicPr>
        <xdr:cNvPr id="1099" name="Image_1114" descr="Image_1114"/>
        <xdr:cNvPicPr>
          <a:picLocks noChangeAspect="1"/>
        </xdr:cNvPicPr>
      </xdr:nvPicPr>
      <xdr:blipFill>
        <a:blip xmlns:r="http://schemas.openxmlformats.org/officeDocument/2006/relationships" r:embed="rId10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1114</xdr:row>
      <xdr:rowOff>95250</xdr:rowOff>
    </xdr:from>
    <xdr:ext cx="1143000" cy="1143000"/>
    <xdr:pic>
      <xdr:nvPicPr>
        <xdr:cNvPr id="1100" name="Image_1115" descr="Image_1115"/>
        <xdr:cNvPicPr>
          <a:picLocks noChangeAspect="1"/>
        </xdr:cNvPicPr>
      </xdr:nvPicPr>
      <xdr:blipFill>
        <a:blip xmlns:r="http://schemas.openxmlformats.org/officeDocument/2006/relationships" r:embed="rId1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1115</xdr:row>
      <xdr:rowOff>95250</xdr:rowOff>
    </xdr:from>
    <xdr:ext cx="1143000" cy="1143000"/>
    <xdr:pic>
      <xdr:nvPicPr>
        <xdr:cNvPr id="1101" name="Image_1116" descr="Image_1116"/>
        <xdr:cNvPicPr>
          <a:picLocks noChangeAspect="1"/>
        </xdr:cNvPicPr>
      </xdr:nvPicPr>
      <xdr:blipFill>
        <a:blip xmlns:r="http://schemas.openxmlformats.org/officeDocument/2006/relationships" r:embed="rId1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1116</xdr:row>
      <xdr:rowOff>95250</xdr:rowOff>
    </xdr:from>
    <xdr:ext cx="1143000" cy="1143000"/>
    <xdr:pic>
      <xdr:nvPicPr>
        <xdr:cNvPr id="1102" name="Image_1117" descr="Image_1117"/>
        <xdr:cNvPicPr>
          <a:picLocks noChangeAspect="1"/>
        </xdr:cNvPicPr>
      </xdr:nvPicPr>
      <xdr:blipFill>
        <a:blip xmlns:r="http://schemas.openxmlformats.org/officeDocument/2006/relationships" r:embed="rId1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1117</xdr:row>
      <xdr:rowOff>95250</xdr:rowOff>
    </xdr:from>
    <xdr:ext cx="1143000" cy="1143000"/>
    <xdr:pic>
      <xdr:nvPicPr>
        <xdr:cNvPr id="1103" name="Image_1118" descr="Image_1118"/>
        <xdr:cNvPicPr>
          <a:picLocks noChangeAspect="1"/>
        </xdr:cNvPicPr>
      </xdr:nvPicPr>
      <xdr:blipFill>
        <a:blip xmlns:r="http://schemas.openxmlformats.org/officeDocument/2006/relationships" r:embed="rId1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1118</xdr:row>
      <xdr:rowOff>95250</xdr:rowOff>
    </xdr:from>
    <xdr:ext cx="1143000" cy="1143000"/>
    <xdr:pic>
      <xdr:nvPicPr>
        <xdr:cNvPr id="1104" name="Image_1119" descr="Image_1119"/>
        <xdr:cNvPicPr>
          <a:picLocks noChangeAspect="1"/>
        </xdr:cNvPicPr>
      </xdr:nvPicPr>
      <xdr:blipFill>
        <a:blip xmlns:r="http://schemas.openxmlformats.org/officeDocument/2006/relationships" r:embed="rId1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1119</xdr:row>
      <xdr:rowOff>95250</xdr:rowOff>
    </xdr:from>
    <xdr:ext cx="1143000" cy="1143000"/>
    <xdr:pic>
      <xdr:nvPicPr>
        <xdr:cNvPr id="1105" name="Image_1120" descr="Image_1120"/>
        <xdr:cNvPicPr>
          <a:picLocks noChangeAspect="1"/>
        </xdr:cNvPicPr>
      </xdr:nvPicPr>
      <xdr:blipFill>
        <a:blip xmlns:r="http://schemas.openxmlformats.org/officeDocument/2006/relationships" r:embed="rId1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1120</xdr:row>
      <xdr:rowOff>95250</xdr:rowOff>
    </xdr:from>
    <xdr:ext cx="1143000" cy="1143000"/>
    <xdr:pic>
      <xdr:nvPicPr>
        <xdr:cNvPr id="1106" name="Image_1121" descr="Image_1121"/>
        <xdr:cNvPicPr>
          <a:picLocks noChangeAspect="1"/>
        </xdr:cNvPicPr>
      </xdr:nvPicPr>
      <xdr:blipFill>
        <a:blip xmlns:r="http://schemas.openxmlformats.org/officeDocument/2006/relationships" r:embed="rId1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1121</xdr:row>
      <xdr:rowOff>95250</xdr:rowOff>
    </xdr:from>
    <xdr:ext cx="1143000" cy="1143000"/>
    <xdr:pic>
      <xdr:nvPicPr>
        <xdr:cNvPr id="1107" name="Image_1122" descr="Image_1122"/>
        <xdr:cNvPicPr>
          <a:picLocks noChangeAspect="1"/>
        </xdr:cNvPicPr>
      </xdr:nvPicPr>
      <xdr:blipFill>
        <a:blip xmlns:r="http://schemas.openxmlformats.org/officeDocument/2006/relationships" r:embed="rId1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1122</xdr:row>
      <xdr:rowOff>95250</xdr:rowOff>
    </xdr:from>
    <xdr:ext cx="1143000" cy="1143000"/>
    <xdr:pic>
      <xdr:nvPicPr>
        <xdr:cNvPr id="1108" name="Image_1123" descr="Image_1123"/>
        <xdr:cNvPicPr>
          <a:picLocks noChangeAspect="1"/>
        </xdr:cNvPicPr>
      </xdr:nvPicPr>
      <xdr:blipFill>
        <a:blip xmlns:r="http://schemas.openxmlformats.org/officeDocument/2006/relationships" r:embed="rId1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1123</xdr:row>
      <xdr:rowOff>95250</xdr:rowOff>
    </xdr:from>
    <xdr:ext cx="1143000" cy="1143000"/>
    <xdr:pic>
      <xdr:nvPicPr>
        <xdr:cNvPr id="1109" name="Image_1124" descr="Image_1124"/>
        <xdr:cNvPicPr>
          <a:picLocks noChangeAspect="1"/>
        </xdr:cNvPicPr>
      </xdr:nvPicPr>
      <xdr:blipFill>
        <a:blip xmlns:r="http://schemas.openxmlformats.org/officeDocument/2006/relationships" r:embed="rId1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1124</xdr:row>
      <xdr:rowOff>95250</xdr:rowOff>
    </xdr:from>
    <xdr:ext cx="1143000" cy="1143000"/>
    <xdr:pic>
      <xdr:nvPicPr>
        <xdr:cNvPr id="1110" name="Image_1125" descr="Image_1125"/>
        <xdr:cNvPicPr>
          <a:picLocks noChangeAspect="1"/>
        </xdr:cNvPicPr>
      </xdr:nvPicPr>
      <xdr:blipFill>
        <a:blip xmlns:r="http://schemas.openxmlformats.org/officeDocument/2006/relationships" r:embed="rId1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1125</xdr:row>
      <xdr:rowOff>95250</xdr:rowOff>
    </xdr:from>
    <xdr:ext cx="1143000" cy="1143000"/>
    <xdr:pic>
      <xdr:nvPicPr>
        <xdr:cNvPr id="1111" name="Image_1126" descr="Image_1126"/>
        <xdr:cNvPicPr>
          <a:picLocks noChangeAspect="1"/>
        </xdr:cNvPicPr>
      </xdr:nvPicPr>
      <xdr:blipFill>
        <a:blip xmlns:r="http://schemas.openxmlformats.org/officeDocument/2006/relationships" r:embed="rId1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1126</xdr:row>
      <xdr:rowOff>95250</xdr:rowOff>
    </xdr:from>
    <xdr:ext cx="1143000" cy="1143000"/>
    <xdr:pic>
      <xdr:nvPicPr>
        <xdr:cNvPr id="1112" name="Image_1127" descr="Image_1127"/>
        <xdr:cNvPicPr>
          <a:picLocks noChangeAspect="1"/>
        </xdr:cNvPicPr>
      </xdr:nvPicPr>
      <xdr:blipFill>
        <a:blip xmlns:r="http://schemas.openxmlformats.org/officeDocument/2006/relationships" r:embed="rId1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1127</xdr:row>
      <xdr:rowOff>95250</xdr:rowOff>
    </xdr:from>
    <xdr:ext cx="1143000" cy="1143000"/>
    <xdr:pic>
      <xdr:nvPicPr>
        <xdr:cNvPr id="1113" name="Image_1128" descr="Image_1128"/>
        <xdr:cNvPicPr>
          <a:picLocks noChangeAspect="1"/>
        </xdr:cNvPicPr>
      </xdr:nvPicPr>
      <xdr:blipFill>
        <a:blip xmlns:r="http://schemas.openxmlformats.org/officeDocument/2006/relationships" r:embed="rId1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1128</xdr:row>
      <xdr:rowOff>95250</xdr:rowOff>
    </xdr:from>
    <xdr:ext cx="1143000" cy="1143000"/>
    <xdr:pic>
      <xdr:nvPicPr>
        <xdr:cNvPr id="1114" name="Image_1129" descr="Image_1129"/>
        <xdr:cNvPicPr>
          <a:picLocks noChangeAspect="1"/>
        </xdr:cNvPicPr>
      </xdr:nvPicPr>
      <xdr:blipFill>
        <a:blip xmlns:r="http://schemas.openxmlformats.org/officeDocument/2006/relationships" r:embed="rId1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1129</xdr:row>
      <xdr:rowOff>95250</xdr:rowOff>
    </xdr:from>
    <xdr:ext cx="1143000" cy="1143000"/>
    <xdr:pic>
      <xdr:nvPicPr>
        <xdr:cNvPr id="1115" name="Image_1130" descr="Image_1130"/>
        <xdr:cNvPicPr>
          <a:picLocks noChangeAspect="1"/>
        </xdr:cNvPicPr>
      </xdr:nvPicPr>
      <xdr:blipFill>
        <a:blip xmlns:r="http://schemas.openxmlformats.org/officeDocument/2006/relationships" r:embed="rId1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1130</xdr:row>
      <xdr:rowOff>95250</xdr:rowOff>
    </xdr:from>
    <xdr:ext cx="1143000" cy="1143000"/>
    <xdr:pic>
      <xdr:nvPicPr>
        <xdr:cNvPr id="1116" name="Image_1131" descr="Image_1131"/>
        <xdr:cNvPicPr>
          <a:picLocks noChangeAspect="1"/>
        </xdr:cNvPicPr>
      </xdr:nvPicPr>
      <xdr:blipFill>
        <a:blip xmlns:r="http://schemas.openxmlformats.org/officeDocument/2006/relationships" r:embed="rId1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1131</xdr:row>
      <xdr:rowOff>95250</xdr:rowOff>
    </xdr:from>
    <xdr:ext cx="1143000" cy="1143000"/>
    <xdr:pic>
      <xdr:nvPicPr>
        <xdr:cNvPr id="1117" name="Image_1132" descr="Image_1132"/>
        <xdr:cNvPicPr>
          <a:picLocks noChangeAspect="1"/>
        </xdr:cNvPicPr>
      </xdr:nvPicPr>
      <xdr:blipFill>
        <a:blip xmlns:r="http://schemas.openxmlformats.org/officeDocument/2006/relationships" r:embed="rId1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1132</xdr:row>
      <xdr:rowOff>95250</xdr:rowOff>
    </xdr:from>
    <xdr:ext cx="1143000" cy="1143000"/>
    <xdr:pic>
      <xdr:nvPicPr>
        <xdr:cNvPr id="1118" name="Image_1133" descr="Image_1133"/>
        <xdr:cNvPicPr>
          <a:picLocks noChangeAspect="1"/>
        </xdr:cNvPicPr>
      </xdr:nvPicPr>
      <xdr:blipFill>
        <a:blip xmlns:r="http://schemas.openxmlformats.org/officeDocument/2006/relationships" r:embed="rId1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1133</xdr:row>
      <xdr:rowOff>95250</xdr:rowOff>
    </xdr:from>
    <xdr:ext cx="1143000" cy="1143000"/>
    <xdr:pic>
      <xdr:nvPicPr>
        <xdr:cNvPr id="1119" name="Image_1134" descr="Image_1134"/>
        <xdr:cNvPicPr>
          <a:picLocks noChangeAspect="1"/>
        </xdr:cNvPicPr>
      </xdr:nvPicPr>
      <xdr:blipFill>
        <a:blip xmlns:r="http://schemas.openxmlformats.org/officeDocument/2006/relationships" r:embed="rId1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1134</xdr:row>
      <xdr:rowOff>95250</xdr:rowOff>
    </xdr:from>
    <xdr:ext cx="1143000" cy="1143000"/>
    <xdr:pic>
      <xdr:nvPicPr>
        <xdr:cNvPr id="1120" name="Image_1135" descr="Image_1135"/>
        <xdr:cNvPicPr>
          <a:picLocks noChangeAspect="1"/>
        </xdr:cNvPicPr>
      </xdr:nvPicPr>
      <xdr:blipFill>
        <a:blip xmlns:r="http://schemas.openxmlformats.org/officeDocument/2006/relationships" r:embed="rId1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1135</xdr:row>
      <xdr:rowOff>95250</xdr:rowOff>
    </xdr:from>
    <xdr:ext cx="1143000" cy="1143000"/>
    <xdr:pic>
      <xdr:nvPicPr>
        <xdr:cNvPr id="1121" name="Image_1136" descr="Image_1136"/>
        <xdr:cNvPicPr>
          <a:picLocks noChangeAspect="1"/>
        </xdr:cNvPicPr>
      </xdr:nvPicPr>
      <xdr:blipFill>
        <a:blip xmlns:r="http://schemas.openxmlformats.org/officeDocument/2006/relationships" r:embed="rId1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1136</xdr:row>
      <xdr:rowOff>95250</xdr:rowOff>
    </xdr:from>
    <xdr:ext cx="1143000" cy="1143000"/>
    <xdr:pic>
      <xdr:nvPicPr>
        <xdr:cNvPr id="1122" name="Image_1137" descr="Image_1137"/>
        <xdr:cNvPicPr>
          <a:picLocks noChangeAspect="1"/>
        </xdr:cNvPicPr>
      </xdr:nvPicPr>
      <xdr:blipFill>
        <a:blip xmlns:r="http://schemas.openxmlformats.org/officeDocument/2006/relationships" r:embed="rId1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1137</xdr:row>
      <xdr:rowOff>95250</xdr:rowOff>
    </xdr:from>
    <xdr:ext cx="1143000" cy="1143000"/>
    <xdr:pic>
      <xdr:nvPicPr>
        <xdr:cNvPr id="1123" name="Image_1138" descr="Image_1138"/>
        <xdr:cNvPicPr>
          <a:picLocks noChangeAspect="1"/>
        </xdr:cNvPicPr>
      </xdr:nvPicPr>
      <xdr:blipFill>
        <a:blip xmlns:r="http://schemas.openxmlformats.org/officeDocument/2006/relationships" r:embed="rId1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1138</xdr:row>
      <xdr:rowOff>95250</xdr:rowOff>
    </xdr:from>
    <xdr:ext cx="1143000" cy="1143000"/>
    <xdr:pic>
      <xdr:nvPicPr>
        <xdr:cNvPr id="1124" name="Image_1139" descr="Image_1139"/>
        <xdr:cNvPicPr>
          <a:picLocks noChangeAspect="1"/>
        </xdr:cNvPicPr>
      </xdr:nvPicPr>
      <xdr:blipFill>
        <a:blip xmlns:r="http://schemas.openxmlformats.org/officeDocument/2006/relationships" r:embed="rId1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1139</xdr:row>
      <xdr:rowOff>95250</xdr:rowOff>
    </xdr:from>
    <xdr:ext cx="1143000" cy="1143000"/>
    <xdr:pic>
      <xdr:nvPicPr>
        <xdr:cNvPr id="1125" name="Image_1140" descr="Image_1140"/>
        <xdr:cNvPicPr>
          <a:picLocks noChangeAspect="1"/>
        </xdr:cNvPicPr>
      </xdr:nvPicPr>
      <xdr:blipFill>
        <a:blip xmlns:r="http://schemas.openxmlformats.org/officeDocument/2006/relationships" r:embed="rId1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1140</xdr:row>
      <xdr:rowOff>95250</xdr:rowOff>
    </xdr:from>
    <xdr:ext cx="1143000" cy="1143000"/>
    <xdr:pic>
      <xdr:nvPicPr>
        <xdr:cNvPr id="1126" name="Image_1141" descr="Image_1141"/>
        <xdr:cNvPicPr>
          <a:picLocks noChangeAspect="1"/>
        </xdr:cNvPicPr>
      </xdr:nvPicPr>
      <xdr:blipFill>
        <a:blip xmlns:r="http://schemas.openxmlformats.org/officeDocument/2006/relationships" r:embed="rId1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1141</xdr:row>
      <xdr:rowOff>95250</xdr:rowOff>
    </xdr:from>
    <xdr:ext cx="1143000" cy="1143000"/>
    <xdr:pic>
      <xdr:nvPicPr>
        <xdr:cNvPr id="1127" name="Image_1142" descr="Image_1142"/>
        <xdr:cNvPicPr>
          <a:picLocks noChangeAspect="1"/>
        </xdr:cNvPicPr>
      </xdr:nvPicPr>
      <xdr:blipFill>
        <a:blip xmlns:r="http://schemas.openxmlformats.org/officeDocument/2006/relationships" r:embed="rId1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1142</xdr:row>
      <xdr:rowOff>95250</xdr:rowOff>
    </xdr:from>
    <xdr:ext cx="1143000" cy="1143000"/>
    <xdr:pic>
      <xdr:nvPicPr>
        <xdr:cNvPr id="1128" name="Image_1143" descr="Image_1143"/>
        <xdr:cNvPicPr>
          <a:picLocks noChangeAspect="1"/>
        </xdr:cNvPicPr>
      </xdr:nvPicPr>
      <xdr:blipFill>
        <a:blip xmlns:r="http://schemas.openxmlformats.org/officeDocument/2006/relationships" r:embed="rId1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1143</xdr:row>
      <xdr:rowOff>95250</xdr:rowOff>
    </xdr:from>
    <xdr:ext cx="1143000" cy="1143000"/>
    <xdr:pic>
      <xdr:nvPicPr>
        <xdr:cNvPr id="1129" name="Image_1144" descr="Image_1144"/>
        <xdr:cNvPicPr>
          <a:picLocks noChangeAspect="1"/>
        </xdr:cNvPicPr>
      </xdr:nvPicPr>
      <xdr:blipFill>
        <a:blip xmlns:r="http://schemas.openxmlformats.org/officeDocument/2006/relationships" r:embed="rId1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1144</xdr:row>
      <xdr:rowOff>95250</xdr:rowOff>
    </xdr:from>
    <xdr:ext cx="1143000" cy="1143000"/>
    <xdr:pic>
      <xdr:nvPicPr>
        <xdr:cNvPr id="1130" name="Image_1145" descr="Image_1145"/>
        <xdr:cNvPicPr>
          <a:picLocks noChangeAspect="1"/>
        </xdr:cNvPicPr>
      </xdr:nvPicPr>
      <xdr:blipFill>
        <a:blip xmlns:r="http://schemas.openxmlformats.org/officeDocument/2006/relationships" r:embed="rId1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1145</xdr:row>
      <xdr:rowOff>95250</xdr:rowOff>
    </xdr:from>
    <xdr:ext cx="1143000" cy="1143000"/>
    <xdr:pic>
      <xdr:nvPicPr>
        <xdr:cNvPr id="1131" name="Image_1146" descr="Image_1146"/>
        <xdr:cNvPicPr>
          <a:picLocks noChangeAspect="1"/>
        </xdr:cNvPicPr>
      </xdr:nvPicPr>
      <xdr:blipFill>
        <a:blip xmlns:r="http://schemas.openxmlformats.org/officeDocument/2006/relationships" r:embed="rId1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1146</xdr:row>
      <xdr:rowOff>95250</xdr:rowOff>
    </xdr:from>
    <xdr:ext cx="1143000" cy="1143000"/>
    <xdr:pic>
      <xdr:nvPicPr>
        <xdr:cNvPr id="1132" name="Image_1147" descr="Image_1147"/>
        <xdr:cNvPicPr>
          <a:picLocks noChangeAspect="1"/>
        </xdr:cNvPicPr>
      </xdr:nvPicPr>
      <xdr:blipFill>
        <a:blip xmlns:r="http://schemas.openxmlformats.org/officeDocument/2006/relationships" r:embed="rId1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1147</xdr:row>
      <xdr:rowOff>95250</xdr:rowOff>
    </xdr:from>
    <xdr:ext cx="1143000" cy="1143000"/>
    <xdr:pic>
      <xdr:nvPicPr>
        <xdr:cNvPr id="1133" name="Image_1148" descr="Image_1148"/>
        <xdr:cNvPicPr>
          <a:picLocks noChangeAspect="1"/>
        </xdr:cNvPicPr>
      </xdr:nvPicPr>
      <xdr:blipFill>
        <a:blip xmlns:r="http://schemas.openxmlformats.org/officeDocument/2006/relationships" r:embed="rId1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1148</xdr:row>
      <xdr:rowOff>95250</xdr:rowOff>
    </xdr:from>
    <xdr:ext cx="1143000" cy="1143000"/>
    <xdr:pic>
      <xdr:nvPicPr>
        <xdr:cNvPr id="1134" name="Image_1149" descr="Image_1149"/>
        <xdr:cNvPicPr>
          <a:picLocks noChangeAspect="1"/>
        </xdr:cNvPicPr>
      </xdr:nvPicPr>
      <xdr:blipFill>
        <a:blip xmlns:r="http://schemas.openxmlformats.org/officeDocument/2006/relationships" r:embed="rId1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1149</xdr:row>
      <xdr:rowOff>95250</xdr:rowOff>
    </xdr:from>
    <xdr:ext cx="1143000" cy="1143000"/>
    <xdr:pic>
      <xdr:nvPicPr>
        <xdr:cNvPr id="1135" name="Image_1150" descr="Image_1150"/>
        <xdr:cNvPicPr>
          <a:picLocks noChangeAspect="1"/>
        </xdr:cNvPicPr>
      </xdr:nvPicPr>
      <xdr:blipFill>
        <a:blip xmlns:r="http://schemas.openxmlformats.org/officeDocument/2006/relationships" r:embed="rId1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1150</xdr:row>
      <xdr:rowOff>95250</xdr:rowOff>
    </xdr:from>
    <xdr:ext cx="1143000" cy="1143000"/>
    <xdr:pic>
      <xdr:nvPicPr>
        <xdr:cNvPr id="1136" name="Image_1151" descr="Image_1151"/>
        <xdr:cNvPicPr>
          <a:picLocks noChangeAspect="1"/>
        </xdr:cNvPicPr>
      </xdr:nvPicPr>
      <xdr:blipFill>
        <a:blip xmlns:r="http://schemas.openxmlformats.org/officeDocument/2006/relationships" r:embed="rId1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1151</xdr:row>
      <xdr:rowOff>95250</xdr:rowOff>
    </xdr:from>
    <xdr:ext cx="1143000" cy="1143000"/>
    <xdr:pic>
      <xdr:nvPicPr>
        <xdr:cNvPr id="1137" name="Image_1152" descr="Image_1152"/>
        <xdr:cNvPicPr>
          <a:picLocks noChangeAspect="1"/>
        </xdr:cNvPicPr>
      </xdr:nvPicPr>
      <xdr:blipFill>
        <a:blip xmlns:r="http://schemas.openxmlformats.org/officeDocument/2006/relationships" r:embed="rId1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1152</xdr:row>
      <xdr:rowOff>95250</xdr:rowOff>
    </xdr:from>
    <xdr:ext cx="1143000" cy="1143000"/>
    <xdr:pic>
      <xdr:nvPicPr>
        <xdr:cNvPr id="1138" name="Image_1153" descr="Image_1153"/>
        <xdr:cNvPicPr>
          <a:picLocks noChangeAspect="1"/>
        </xdr:cNvPicPr>
      </xdr:nvPicPr>
      <xdr:blipFill>
        <a:blip xmlns:r="http://schemas.openxmlformats.org/officeDocument/2006/relationships" r:embed="rId1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1153</xdr:row>
      <xdr:rowOff>95250</xdr:rowOff>
    </xdr:from>
    <xdr:ext cx="1143000" cy="1143000"/>
    <xdr:pic>
      <xdr:nvPicPr>
        <xdr:cNvPr id="1139" name="Image_1154" descr="Image_1154"/>
        <xdr:cNvPicPr>
          <a:picLocks noChangeAspect="1"/>
        </xdr:cNvPicPr>
      </xdr:nvPicPr>
      <xdr:blipFill>
        <a:blip xmlns:r="http://schemas.openxmlformats.org/officeDocument/2006/relationships" r:embed="rId1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1154</xdr:row>
      <xdr:rowOff>95250</xdr:rowOff>
    </xdr:from>
    <xdr:ext cx="1143000" cy="1143000"/>
    <xdr:pic>
      <xdr:nvPicPr>
        <xdr:cNvPr id="1140" name="Image_1155" descr="Image_1155"/>
        <xdr:cNvPicPr>
          <a:picLocks noChangeAspect="1"/>
        </xdr:cNvPicPr>
      </xdr:nvPicPr>
      <xdr:blipFill>
        <a:blip xmlns:r="http://schemas.openxmlformats.org/officeDocument/2006/relationships" r:embed="rId1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1155</xdr:row>
      <xdr:rowOff>95250</xdr:rowOff>
    </xdr:from>
    <xdr:ext cx="1143000" cy="1143000"/>
    <xdr:pic>
      <xdr:nvPicPr>
        <xdr:cNvPr id="1141" name="Image_1156" descr="Image_1156"/>
        <xdr:cNvPicPr>
          <a:picLocks noChangeAspect="1"/>
        </xdr:cNvPicPr>
      </xdr:nvPicPr>
      <xdr:blipFill>
        <a:blip xmlns:r="http://schemas.openxmlformats.org/officeDocument/2006/relationships" r:embed="rId1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1156</xdr:row>
      <xdr:rowOff>95250</xdr:rowOff>
    </xdr:from>
    <xdr:ext cx="1143000" cy="1143000"/>
    <xdr:pic>
      <xdr:nvPicPr>
        <xdr:cNvPr id="1142" name="Image_1157" descr="Image_1157"/>
        <xdr:cNvPicPr>
          <a:picLocks noChangeAspect="1"/>
        </xdr:cNvPicPr>
      </xdr:nvPicPr>
      <xdr:blipFill>
        <a:blip xmlns:r="http://schemas.openxmlformats.org/officeDocument/2006/relationships" r:embed="rId1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1157</xdr:row>
      <xdr:rowOff>95250</xdr:rowOff>
    </xdr:from>
    <xdr:ext cx="1143000" cy="1143000"/>
    <xdr:pic>
      <xdr:nvPicPr>
        <xdr:cNvPr id="1143" name="Image_1158" descr="Image_1158"/>
        <xdr:cNvPicPr>
          <a:picLocks noChangeAspect="1"/>
        </xdr:cNvPicPr>
      </xdr:nvPicPr>
      <xdr:blipFill>
        <a:blip xmlns:r="http://schemas.openxmlformats.org/officeDocument/2006/relationships" r:embed="rId1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1158</xdr:row>
      <xdr:rowOff>95250</xdr:rowOff>
    </xdr:from>
    <xdr:ext cx="1143000" cy="1143000"/>
    <xdr:pic>
      <xdr:nvPicPr>
        <xdr:cNvPr id="1144" name="Image_1159" descr="Image_1159"/>
        <xdr:cNvPicPr>
          <a:picLocks noChangeAspect="1"/>
        </xdr:cNvPicPr>
      </xdr:nvPicPr>
      <xdr:blipFill>
        <a:blip xmlns:r="http://schemas.openxmlformats.org/officeDocument/2006/relationships" r:embed="rId1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1159</xdr:row>
      <xdr:rowOff>95250</xdr:rowOff>
    </xdr:from>
    <xdr:ext cx="1143000" cy="1143000"/>
    <xdr:pic>
      <xdr:nvPicPr>
        <xdr:cNvPr id="1145" name="Image_1160" descr="Image_1160"/>
        <xdr:cNvPicPr>
          <a:picLocks noChangeAspect="1"/>
        </xdr:cNvPicPr>
      </xdr:nvPicPr>
      <xdr:blipFill>
        <a:blip xmlns:r="http://schemas.openxmlformats.org/officeDocument/2006/relationships" r:embed="rId1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1160</xdr:row>
      <xdr:rowOff>95250</xdr:rowOff>
    </xdr:from>
    <xdr:ext cx="1143000" cy="1143000"/>
    <xdr:pic>
      <xdr:nvPicPr>
        <xdr:cNvPr id="1146" name="Image_1161" descr="Image_1161"/>
        <xdr:cNvPicPr>
          <a:picLocks noChangeAspect="1"/>
        </xdr:cNvPicPr>
      </xdr:nvPicPr>
      <xdr:blipFill>
        <a:blip xmlns:r="http://schemas.openxmlformats.org/officeDocument/2006/relationships" r:embed="rId1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1161</xdr:row>
      <xdr:rowOff>95250</xdr:rowOff>
    </xdr:from>
    <xdr:ext cx="1143000" cy="1143000"/>
    <xdr:pic>
      <xdr:nvPicPr>
        <xdr:cNvPr id="1147" name="Image_1162" descr="Image_1162"/>
        <xdr:cNvPicPr>
          <a:picLocks noChangeAspect="1"/>
        </xdr:cNvPicPr>
      </xdr:nvPicPr>
      <xdr:blipFill>
        <a:blip xmlns:r="http://schemas.openxmlformats.org/officeDocument/2006/relationships" r:embed="rId1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1162</xdr:row>
      <xdr:rowOff>95250</xdr:rowOff>
    </xdr:from>
    <xdr:ext cx="1143000" cy="1143000"/>
    <xdr:pic>
      <xdr:nvPicPr>
        <xdr:cNvPr id="1148" name="Image_1163" descr="Image_1163"/>
        <xdr:cNvPicPr>
          <a:picLocks noChangeAspect="1"/>
        </xdr:cNvPicPr>
      </xdr:nvPicPr>
      <xdr:blipFill>
        <a:blip xmlns:r="http://schemas.openxmlformats.org/officeDocument/2006/relationships" r:embed="rId1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1163</xdr:row>
      <xdr:rowOff>95250</xdr:rowOff>
    </xdr:from>
    <xdr:ext cx="1143000" cy="1143000"/>
    <xdr:pic>
      <xdr:nvPicPr>
        <xdr:cNvPr id="1149" name="Image_1164" descr="Image_1164"/>
        <xdr:cNvPicPr>
          <a:picLocks noChangeAspect="1"/>
        </xdr:cNvPicPr>
      </xdr:nvPicPr>
      <xdr:blipFill>
        <a:blip xmlns:r="http://schemas.openxmlformats.org/officeDocument/2006/relationships" r:embed="rId1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1164</xdr:row>
      <xdr:rowOff>95250</xdr:rowOff>
    </xdr:from>
    <xdr:ext cx="1143000" cy="1143000"/>
    <xdr:pic>
      <xdr:nvPicPr>
        <xdr:cNvPr id="1150" name="Image_1165" descr="Image_1165"/>
        <xdr:cNvPicPr>
          <a:picLocks noChangeAspect="1"/>
        </xdr:cNvPicPr>
      </xdr:nvPicPr>
      <xdr:blipFill>
        <a:blip xmlns:r="http://schemas.openxmlformats.org/officeDocument/2006/relationships" r:embed="rId1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1165</xdr:row>
      <xdr:rowOff>95250</xdr:rowOff>
    </xdr:from>
    <xdr:ext cx="1143000" cy="1143000"/>
    <xdr:pic>
      <xdr:nvPicPr>
        <xdr:cNvPr id="1151" name="Image_1166" descr="Image_1166"/>
        <xdr:cNvPicPr>
          <a:picLocks noChangeAspect="1"/>
        </xdr:cNvPicPr>
      </xdr:nvPicPr>
      <xdr:blipFill>
        <a:blip xmlns:r="http://schemas.openxmlformats.org/officeDocument/2006/relationships" r:embed="rId1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1166</xdr:row>
      <xdr:rowOff>95250</xdr:rowOff>
    </xdr:from>
    <xdr:ext cx="1143000" cy="1143000"/>
    <xdr:pic>
      <xdr:nvPicPr>
        <xdr:cNvPr id="1152" name="Image_1167" descr="Image_1167"/>
        <xdr:cNvPicPr>
          <a:picLocks noChangeAspect="1"/>
        </xdr:cNvPicPr>
      </xdr:nvPicPr>
      <xdr:blipFill>
        <a:blip xmlns:r="http://schemas.openxmlformats.org/officeDocument/2006/relationships" r:embed="rId1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1167</xdr:row>
      <xdr:rowOff>95250</xdr:rowOff>
    </xdr:from>
    <xdr:ext cx="1143000" cy="1143000"/>
    <xdr:pic>
      <xdr:nvPicPr>
        <xdr:cNvPr id="1153" name="Image_1168" descr="Image_1168"/>
        <xdr:cNvPicPr>
          <a:picLocks noChangeAspect="1"/>
        </xdr:cNvPicPr>
      </xdr:nvPicPr>
      <xdr:blipFill>
        <a:blip xmlns:r="http://schemas.openxmlformats.org/officeDocument/2006/relationships" r:embed="rId1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1168</xdr:row>
      <xdr:rowOff>95250</xdr:rowOff>
    </xdr:from>
    <xdr:ext cx="1143000" cy="1143000"/>
    <xdr:pic>
      <xdr:nvPicPr>
        <xdr:cNvPr id="1154" name="Image_1169" descr="Image_1169"/>
        <xdr:cNvPicPr>
          <a:picLocks noChangeAspect="1"/>
        </xdr:cNvPicPr>
      </xdr:nvPicPr>
      <xdr:blipFill>
        <a:blip xmlns:r="http://schemas.openxmlformats.org/officeDocument/2006/relationships" r:embed="rId1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1169</xdr:row>
      <xdr:rowOff>95250</xdr:rowOff>
    </xdr:from>
    <xdr:ext cx="1143000" cy="1143000"/>
    <xdr:pic>
      <xdr:nvPicPr>
        <xdr:cNvPr id="1155" name="Image_1170" descr="Image_1170"/>
        <xdr:cNvPicPr>
          <a:picLocks noChangeAspect="1"/>
        </xdr:cNvPicPr>
      </xdr:nvPicPr>
      <xdr:blipFill>
        <a:blip xmlns:r="http://schemas.openxmlformats.org/officeDocument/2006/relationships" r:embed="rId1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1170</xdr:row>
      <xdr:rowOff>95250</xdr:rowOff>
    </xdr:from>
    <xdr:ext cx="1143000" cy="1143000"/>
    <xdr:pic>
      <xdr:nvPicPr>
        <xdr:cNvPr id="1156" name="Image_1171" descr="Image_1171"/>
        <xdr:cNvPicPr>
          <a:picLocks noChangeAspect="1"/>
        </xdr:cNvPicPr>
      </xdr:nvPicPr>
      <xdr:blipFill>
        <a:blip xmlns:r="http://schemas.openxmlformats.org/officeDocument/2006/relationships" r:embed="rId1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1171</xdr:row>
      <xdr:rowOff>95250</xdr:rowOff>
    </xdr:from>
    <xdr:ext cx="1143000" cy="1143000"/>
    <xdr:pic>
      <xdr:nvPicPr>
        <xdr:cNvPr id="1157" name="Image_1172" descr="Image_1172"/>
        <xdr:cNvPicPr>
          <a:picLocks noChangeAspect="1"/>
        </xdr:cNvPicPr>
      </xdr:nvPicPr>
      <xdr:blipFill>
        <a:blip xmlns:r="http://schemas.openxmlformats.org/officeDocument/2006/relationships" r:embed="rId1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1172</xdr:row>
      <xdr:rowOff>95250</xdr:rowOff>
    </xdr:from>
    <xdr:ext cx="1143000" cy="1143000"/>
    <xdr:pic>
      <xdr:nvPicPr>
        <xdr:cNvPr id="1158" name="Image_1173" descr="Image_1173"/>
        <xdr:cNvPicPr>
          <a:picLocks noChangeAspect="1"/>
        </xdr:cNvPicPr>
      </xdr:nvPicPr>
      <xdr:blipFill>
        <a:blip xmlns:r="http://schemas.openxmlformats.org/officeDocument/2006/relationships" r:embed="rId1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1173</xdr:row>
      <xdr:rowOff>95250</xdr:rowOff>
    </xdr:from>
    <xdr:ext cx="1143000" cy="1143000"/>
    <xdr:pic>
      <xdr:nvPicPr>
        <xdr:cNvPr id="1159" name="Image_1174" descr="Image_1174"/>
        <xdr:cNvPicPr>
          <a:picLocks noChangeAspect="1"/>
        </xdr:cNvPicPr>
      </xdr:nvPicPr>
      <xdr:blipFill>
        <a:blip xmlns:r="http://schemas.openxmlformats.org/officeDocument/2006/relationships" r:embed="rId1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1174</xdr:row>
      <xdr:rowOff>95250</xdr:rowOff>
    </xdr:from>
    <xdr:ext cx="1143000" cy="1143000"/>
    <xdr:pic>
      <xdr:nvPicPr>
        <xdr:cNvPr id="1160" name="Image_1175" descr="Image_1175"/>
        <xdr:cNvPicPr>
          <a:picLocks noChangeAspect="1"/>
        </xdr:cNvPicPr>
      </xdr:nvPicPr>
      <xdr:blipFill>
        <a:blip xmlns:r="http://schemas.openxmlformats.org/officeDocument/2006/relationships" r:embed="rId1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1175</xdr:row>
      <xdr:rowOff>95250</xdr:rowOff>
    </xdr:from>
    <xdr:ext cx="1143000" cy="1143000"/>
    <xdr:pic>
      <xdr:nvPicPr>
        <xdr:cNvPr id="1161" name="Image_1176" descr="Image_1176"/>
        <xdr:cNvPicPr>
          <a:picLocks noChangeAspect="1"/>
        </xdr:cNvPicPr>
      </xdr:nvPicPr>
      <xdr:blipFill>
        <a:blip xmlns:r="http://schemas.openxmlformats.org/officeDocument/2006/relationships" r:embed="rId1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1176</xdr:row>
      <xdr:rowOff>95250</xdr:rowOff>
    </xdr:from>
    <xdr:ext cx="1143000" cy="1143000"/>
    <xdr:pic>
      <xdr:nvPicPr>
        <xdr:cNvPr id="1162" name="Image_1177" descr="Image_1177"/>
        <xdr:cNvPicPr>
          <a:picLocks noChangeAspect="1"/>
        </xdr:cNvPicPr>
      </xdr:nvPicPr>
      <xdr:blipFill>
        <a:blip xmlns:r="http://schemas.openxmlformats.org/officeDocument/2006/relationships" r:embed="rId1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1177</xdr:row>
      <xdr:rowOff>95250</xdr:rowOff>
    </xdr:from>
    <xdr:ext cx="1143000" cy="1143000"/>
    <xdr:pic>
      <xdr:nvPicPr>
        <xdr:cNvPr id="1163" name="Image_1178" descr="Image_1178"/>
        <xdr:cNvPicPr>
          <a:picLocks noChangeAspect="1"/>
        </xdr:cNvPicPr>
      </xdr:nvPicPr>
      <xdr:blipFill>
        <a:blip xmlns:r="http://schemas.openxmlformats.org/officeDocument/2006/relationships" r:embed="rId1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1178</xdr:row>
      <xdr:rowOff>95250</xdr:rowOff>
    </xdr:from>
    <xdr:ext cx="1143000" cy="1143000"/>
    <xdr:pic>
      <xdr:nvPicPr>
        <xdr:cNvPr id="1164" name="Image_1179" descr="Image_1179"/>
        <xdr:cNvPicPr>
          <a:picLocks noChangeAspect="1"/>
        </xdr:cNvPicPr>
      </xdr:nvPicPr>
      <xdr:blipFill>
        <a:blip xmlns:r="http://schemas.openxmlformats.org/officeDocument/2006/relationships" r:embed="rId1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1179</xdr:row>
      <xdr:rowOff>95250</xdr:rowOff>
    </xdr:from>
    <xdr:ext cx="1143000" cy="1143000"/>
    <xdr:pic>
      <xdr:nvPicPr>
        <xdr:cNvPr id="1165" name="Image_1180" descr="Image_1180"/>
        <xdr:cNvPicPr>
          <a:picLocks noChangeAspect="1"/>
        </xdr:cNvPicPr>
      </xdr:nvPicPr>
      <xdr:blipFill>
        <a:blip xmlns:r="http://schemas.openxmlformats.org/officeDocument/2006/relationships" r:embed="rId1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1180</xdr:row>
      <xdr:rowOff>95250</xdr:rowOff>
    </xdr:from>
    <xdr:ext cx="1143000" cy="1143000"/>
    <xdr:pic>
      <xdr:nvPicPr>
        <xdr:cNvPr id="1166" name="Image_1181" descr="Image_1181"/>
        <xdr:cNvPicPr>
          <a:picLocks noChangeAspect="1"/>
        </xdr:cNvPicPr>
      </xdr:nvPicPr>
      <xdr:blipFill>
        <a:blip xmlns:r="http://schemas.openxmlformats.org/officeDocument/2006/relationships" r:embed="rId1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1181</xdr:row>
      <xdr:rowOff>95250</xdr:rowOff>
    </xdr:from>
    <xdr:ext cx="1143000" cy="1143000"/>
    <xdr:pic>
      <xdr:nvPicPr>
        <xdr:cNvPr id="1167" name="Image_1182" descr="Image_1182"/>
        <xdr:cNvPicPr>
          <a:picLocks noChangeAspect="1"/>
        </xdr:cNvPicPr>
      </xdr:nvPicPr>
      <xdr:blipFill>
        <a:blip xmlns:r="http://schemas.openxmlformats.org/officeDocument/2006/relationships" r:embed="rId1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1182</xdr:row>
      <xdr:rowOff>95250</xdr:rowOff>
    </xdr:from>
    <xdr:ext cx="1143000" cy="1143000"/>
    <xdr:pic>
      <xdr:nvPicPr>
        <xdr:cNvPr id="1168" name="Image_1183" descr="Image_1183"/>
        <xdr:cNvPicPr>
          <a:picLocks noChangeAspect="1"/>
        </xdr:cNvPicPr>
      </xdr:nvPicPr>
      <xdr:blipFill>
        <a:blip xmlns:r="http://schemas.openxmlformats.org/officeDocument/2006/relationships" r:embed="rId1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1183</xdr:row>
      <xdr:rowOff>95250</xdr:rowOff>
    </xdr:from>
    <xdr:ext cx="1143000" cy="1143000"/>
    <xdr:pic>
      <xdr:nvPicPr>
        <xdr:cNvPr id="1169" name="Image_1184" descr="Image_1184"/>
        <xdr:cNvPicPr>
          <a:picLocks noChangeAspect="1"/>
        </xdr:cNvPicPr>
      </xdr:nvPicPr>
      <xdr:blipFill>
        <a:blip xmlns:r="http://schemas.openxmlformats.org/officeDocument/2006/relationships" r:embed="rId1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1184</xdr:row>
      <xdr:rowOff>95250</xdr:rowOff>
    </xdr:from>
    <xdr:ext cx="1143000" cy="1143000"/>
    <xdr:pic>
      <xdr:nvPicPr>
        <xdr:cNvPr id="1170" name="Image_1185" descr="Image_1185"/>
        <xdr:cNvPicPr>
          <a:picLocks noChangeAspect="1"/>
        </xdr:cNvPicPr>
      </xdr:nvPicPr>
      <xdr:blipFill>
        <a:blip xmlns:r="http://schemas.openxmlformats.org/officeDocument/2006/relationships" r:embed="rId1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1185</xdr:row>
      <xdr:rowOff>95250</xdr:rowOff>
    </xdr:from>
    <xdr:ext cx="1143000" cy="1143000"/>
    <xdr:pic>
      <xdr:nvPicPr>
        <xdr:cNvPr id="1171" name="Image_1186" descr="Image_1186"/>
        <xdr:cNvPicPr>
          <a:picLocks noChangeAspect="1"/>
        </xdr:cNvPicPr>
      </xdr:nvPicPr>
      <xdr:blipFill>
        <a:blip xmlns:r="http://schemas.openxmlformats.org/officeDocument/2006/relationships" r:embed="rId1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1186</xdr:row>
      <xdr:rowOff>95250</xdr:rowOff>
    </xdr:from>
    <xdr:ext cx="1143000" cy="1143000"/>
    <xdr:pic>
      <xdr:nvPicPr>
        <xdr:cNvPr id="1172" name="Image_1187" descr="Image_1187"/>
        <xdr:cNvPicPr>
          <a:picLocks noChangeAspect="1"/>
        </xdr:cNvPicPr>
      </xdr:nvPicPr>
      <xdr:blipFill>
        <a:blip xmlns:r="http://schemas.openxmlformats.org/officeDocument/2006/relationships" r:embed="rId1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1187</xdr:row>
      <xdr:rowOff>95250</xdr:rowOff>
    </xdr:from>
    <xdr:ext cx="1143000" cy="1143000"/>
    <xdr:pic>
      <xdr:nvPicPr>
        <xdr:cNvPr id="1173" name="Image_1188" descr="Image_1188"/>
        <xdr:cNvPicPr>
          <a:picLocks noChangeAspect="1"/>
        </xdr:cNvPicPr>
      </xdr:nvPicPr>
      <xdr:blipFill>
        <a:blip xmlns:r="http://schemas.openxmlformats.org/officeDocument/2006/relationships" r:embed="rId1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1188</xdr:row>
      <xdr:rowOff>95250</xdr:rowOff>
    </xdr:from>
    <xdr:ext cx="1143000" cy="1143000"/>
    <xdr:pic>
      <xdr:nvPicPr>
        <xdr:cNvPr id="1174" name="Image_1189" descr="Image_1189"/>
        <xdr:cNvPicPr>
          <a:picLocks noChangeAspect="1"/>
        </xdr:cNvPicPr>
      </xdr:nvPicPr>
      <xdr:blipFill>
        <a:blip xmlns:r="http://schemas.openxmlformats.org/officeDocument/2006/relationships" r:embed="rId1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1189</xdr:row>
      <xdr:rowOff>95250</xdr:rowOff>
    </xdr:from>
    <xdr:ext cx="1143000" cy="1143000"/>
    <xdr:pic>
      <xdr:nvPicPr>
        <xdr:cNvPr id="1175" name="Image_1190" descr="Image_1190"/>
        <xdr:cNvPicPr>
          <a:picLocks noChangeAspect="1"/>
        </xdr:cNvPicPr>
      </xdr:nvPicPr>
      <xdr:blipFill>
        <a:blip xmlns:r="http://schemas.openxmlformats.org/officeDocument/2006/relationships" r:embed="rId1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1190</xdr:row>
      <xdr:rowOff>95250</xdr:rowOff>
    </xdr:from>
    <xdr:ext cx="1143000" cy="1143000"/>
    <xdr:pic>
      <xdr:nvPicPr>
        <xdr:cNvPr id="1176" name="Image_1191" descr="Image_1191"/>
        <xdr:cNvPicPr>
          <a:picLocks noChangeAspect="1"/>
        </xdr:cNvPicPr>
      </xdr:nvPicPr>
      <xdr:blipFill>
        <a:blip xmlns:r="http://schemas.openxmlformats.org/officeDocument/2006/relationships" r:embed="rId1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1191</xdr:row>
      <xdr:rowOff>95250</xdr:rowOff>
    </xdr:from>
    <xdr:ext cx="1143000" cy="1143000"/>
    <xdr:pic>
      <xdr:nvPicPr>
        <xdr:cNvPr id="1177" name="Image_1192" descr="Image_1192"/>
        <xdr:cNvPicPr>
          <a:picLocks noChangeAspect="1"/>
        </xdr:cNvPicPr>
      </xdr:nvPicPr>
      <xdr:blipFill>
        <a:blip xmlns:r="http://schemas.openxmlformats.org/officeDocument/2006/relationships" r:embed="rId1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1192</xdr:row>
      <xdr:rowOff>95250</xdr:rowOff>
    </xdr:from>
    <xdr:ext cx="1143000" cy="1143000"/>
    <xdr:pic>
      <xdr:nvPicPr>
        <xdr:cNvPr id="1178" name="Image_1193" descr="Image_1193"/>
        <xdr:cNvPicPr>
          <a:picLocks noChangeAspect="1"/>
        </xdr:cNvPicPr>
      </xdr:nvPicPr>
      <xdr:blipFill>
        <a:blip xmlns:r="http://schemas.openxmlformats.org/officeDocument/2006/relationships" r:embed="rId1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1193</xdr:row>
      <xdr:rowOff>95250</xdr:rowOff>
    </xdr:from>
    <xdr:ext cx="1143000" cy="1143000"/>
    <xdr:pic>
      <xdr:nvPicPr>
        <xdr:cNvPr id="1179" name="Image_1194" descr="Image_1194"/>
        <xdr:cNvPicPr>
          <a:picLocks noChangeAspect="1"/>
        </xdr:cNvPicPr>
      </xdr:nvPicPr>
      <xdr:blipFill>
        <a:blip xmlns:r="http://schemas.openxmlformats.org/officeDocument/2006/relationships" r:embed="rId1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1194</xdr:row>
      <xdr:rowOff>95250</xdr:rowOff>
    </xdr:from>
    <xdr:ext cx="1143000" cy="1143000"/>
    <xdr:pic>
      <xdr:nvPicPr>
        <xdr:cNvPr id="1180" name="Image_1195" descr="Image_1195"/>
        <xdr:cNvPicPr>
          <a:picLocks noChangeAspect="1"/>
        </xdr:cNvPicPr>
      </xdr:nvPicPr>
      <xdr:blipFill>
        <a:blip xmlns:r="http://schemas.openxmlformats.org/officeDocument/2006/relationships" r:embed="rId1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1195</xdr:row>
      <xdr:rowOff>95250</xdr:rowOff>
    </xdr:from>
    <xdr:ext cx="1143000" cy="1143000"/>
    <xdr:pic>
      <xdr:nvPicPr>
        <xdr:cNvPr id="1181" name="Image_1196" descr="Image_1196"/>
        <xdr:cNvPicPr>
          <a:picLocks noChangeAspect="1"/>
        </xdr:cNvPicPr>
      </xdr:nvPicPr>
      <xdr:blipFill>
        <a:blip xmlns:r="http://schemas.openxmlformats.org/officeDocument/2006/relationships" r:embed="rId1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1196</xdr:row>
      <xdr:rowOff>95250</xdr:rowOff>
    </xdr:from>
    <xdr:ext cx="1143000" cy="1143000"/>
    <xdr:pic>
      <xdr:nvPicPr>
        <xdr:cNvPr id="1182" name="Image_1197" descr="Image_1197"/>
        <xdr:cNvPicPr>
          <a:picLocks noChangeAspect="1"/>
        </xdr:cNvPicPr>
      </xdr:nvPicPr>
      <xdr:blipFill>
        <a:blip xmlns:r="http://schemas.openxmlformats.org/officeDocument/2006/relationships" r:embed="rId1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1197</xdr:row>
      <xdr:rowOff>95250</xdr:rowOff>
    </xdr:from>
    <xdr:ext cx="1143000" cy="1143000"/>
    <xdr:pic>
      <xdr:nvPicPr>
        <xdr:cNvPr id="1183" name="Image_1198" descr="Image_1198"/>
        <xdr:cNvPicPr>
          <a:picLocks noChangeAspect="1"/>
        </xdr:cNvPicPr>
      </xdr:nvPicPr>
      <xdr:blipFill>
        <a:blip xmlns:r="http://schemas.openxmlformats.org/officeDocument/2006/relationships" r:embed="rId1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1198</xdr:row>
      <xdr:rowOff>95250</xdr:rowOff>
    </xdr:from>
    <xdr:ext cx="1143000" cy="1143000"/>
    <xdr:pic>
      <xdr:nvPicPr>
        <xdr:cNvPr id="1184" name="Image_1199" descr="Image_1199"/>
        <xdr:cNvPicPr>
          <a:picLocks noChangeAspect="1"/>
        </xdr:cNvPicPr>
      </xdr:nvPicPr>
      <xdr:blipFill>
        <a:blip xmlns:r="http://schemas.openxmlformats.org/officeDocument/2006/relationships" r:embed="rId1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1199</xdr:row>
      <xdr:rowOff>95250</xdr:rowOff>
    </xdr:from>
    <xdr:ext cx="1143000" cy="1143000"/>
    <xdr:pic>
      <xdr:nvPicPr>
        <xdr:cNvPr id="1185" name="Image_1200" descr="Image_1200"/>
        <xdr:cNvPicPr>
          <a:picLocks noChangeAspect="1"/>
        </xdr:cNvPicPr>
      </xdr:nvPicPr>
      <xdr:blipFill>
        <a:blip xmlns:r="http://schemas.openxmlformats.org/officeDocument/2006/relationships" r:embed="rId1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1200</xdr:row>
      <xdr:rowOff>95250</xdr:rowOff>
    </xdr:from>
    <xdr:ext cx="1143000" cy="1143000"/>
    <xdr:pic>
      <xdr:nvPicPr>
        <xdr:cNvPr id="1186" name="Image_1201" descr="Image_1201"/>
        <xdr:cNvPicPr>
          <a:picLocks noChangeAspect="1"/>
        </xdr:cNvPicPr>
      </xdr:nvPicPr>
      <xdr:blipFill>
        <a:blip xmlns:r="http://schemas.openxmlformats.org/officeDocument/2006/relationships" r:embed="rId1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1201</xdr:row>
      <xdr:rowOff>95250</xdr:rowOff>
    </xdr:from>
    <xdr:ext cx="1143000" cy="1143000"/>
    <xdr:pic>
      <xdr:nvPicPr>
        <xdr:cNvPr id="1187" name="Image_1202" descr="Image_1202"/>
        <xdr:cNvPicPr>
          <a:picLocks noChangeAspect="1"/>
        </xdr:cNvPicPr>
      </xdr:nvPicPr>
      <xdr:blipFill>
        <a:blip xmlns:r="http://schemas.openxmlformats.org/officeDocument/2006/relationships" r:embed="rId1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1202</xdr:row>
      <xdr:rowOff>95250</xdr:rowOff>
    </xdr:from>
    <xdr:ext cx="1143000" cy="1143000"/>
    <xdr:pic>
      <xdr:nvPicPr>
        <xdr:cNvPr id="1188" name="Image_1203" descr="Image_1203"/>
        <xdr:cNvPicPr>
          <a:picLocks noChangeAspect="1"/>
        </xdr:cNvPicPr>
      </xdr:nvPicPr>
      <xdr:blipFill>
        <a:blip xmlns:r="http://schemas.openxmlformats.org/officeDocument/2006/relationships" r:embed="rId1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1203</xdr:row>
      <xdr:rowOff>95250</xdr:rowOff>
    </xdr:from>
    <xdr:ext cx="1143000" cy="1143000"/>
    <xdr:pic>
      <xdr:nvPicPr>
        <xdr:cNvPr id="1189" name="Image_1204" descr="Image_1204"/>
        <xdr:cNvPicPr>
          <a:picLocks noChangeAspect="1"/>
        </xdr:cNvPicPr>
      </xdr:nvPicPr>
      <xdr:blipFill>
        <a:blip xmlns:r="http://schemas.openxmlformats.org/officeDocument/2006/relationships" r:embed="rId1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1204</xdr:row>
      <xdr:rowOff>95250</xdr:rowOff>
    </xdr:from>
    <xdr:ext cx="1143000" cy="1143000"/>
    <xdr:pic>
      <xdr:nvPicPr>
        <xdr:cNvPr id="1190" name="Image_1205" descr="Image_1205"/>
        <xdr:cNvPicPr>
          <a:picLocks noChangeAspect="1"/>
        </xdr:cNvPicPr>
      </xdr:nvPicPr>
      <xdr:blipFill>
        <a:blip xmlns:r="http://schemas.openxmlformats.org/officeDocument/2006/relationships" r:embed="rId1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1205</xdr:row>
      <xdr:rowOff>95250</xdr:rowOff>
    </xdr:from>
    <xdr:ext cx="1143000" cy="1143000"/>
    <xdr:pic>
      <xdr:nvPicPr>
        <xdr:cNvPr id="1191" name="Image_1206" descr="Image_1206"/>
        <xdr:cNvPicPr>
          <a:picLocks noChangeAspect="1"/>
        </xdr:cNvPicPr>
      </xdr:nvPicPr>
      <xdr:blipFill>
        <a:blip xmlns:r="http://schemas.openxmlformats.org/officeDocument/2006/relationships" r:embed="rId1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1206</xdr:row>
      <xdr:rowOff>95250</xdr:rowOff>
    </xdr:from>
    <xdr:ext cx="1143000" cy="1143000"/>
    <xdr:pic>
      <xdr:nvPicPr>
        <xdr:cNvPr id="1192" name="Image_1207" descr="Image_1207"/>
        <xdr:cNvPicPr>
          <a:picLocks noChangeAspect="1"/>
        </xdr:cNvPicPr>
      </xdr:nvPicPr>
      <xdr:blipFill>
        <a:blip xmlns:r="http://schemas.openxmlformats.org/officeDocument/2006/relationships" r:embed="rId1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1207</xdr:row>
      <xdr:rowOff>95250</xdr:rowOff>
    </xdr:from>
    <xdr:ext cx="1143000" cy="1143000"/>
    <xdr:pic>
      <xdr:nvPicPr>
        <xdr:cNvPr id="1193" name="Image_1208" descr="Image_1208"/>
        <xdr:cNvPicPr>
          <a:picLocks noChangeAspect="1"/>
        </xdr:cNvPicPr>
      </xdr:nvPicPr>
      <xdr:blipFill>
        <a:blip xmlns:r="http://schemas.openxmlformats.org/officeDocument/2006/relationships" r:embed="rId1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1208</xdr:row>
      <xdr:rowOff>95250</xdr:rowOff>
    </xdr:from>
    <xdr:ext cx="1143000" cy="1143000"/>
    <xdr:pic>
      <xdr:nvPicPr>
        <xdr:cNvPr id="1194" name="Image_1209" descr="Image_1209"/>
        <xdr:cNvPicPr>
          <a:picLocks noChangeAspect="1"/>
        </xdr:cNvPicPr>
      </xdr:nvPicPr>
      <xdr:blipFill>
        <a:blip xmlns:r="http://schemas.openxmlformats.org/officeDocument/2006/relationships" r:embed="rId1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1209</xdr:row>
      <xdr:rowOff>95250</xdr:rowOff>
    </xdr:from>
    <xdr:ext cx="1143000" cy="1143000"/>
    <xdr:pic>
      <xdr:nvPicPr>
        <xdr:cNvPr id="1195" name="Image_1210" descr="Image_1210"/>
        <xdr:cNvPicPr>
          <a:picLocks noChangeAspect="1"/>
        </xdr:cNvPicPr>
      </xdr:nvPicPr>
      <xdr:blipFill>
        <a:blip xmlns:r="http://schemas.openxmlformats.org/officeDocument/2006/relationships" r:embed="rId1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1210</xdr:row>
      <xdr:rowOff>95250</xdr:rowOff>
    </xdr:from>
    <xdr:ext cx="1143000" cy="1143000"/>
    <xdr:pic>
      <xdr:nvPicPr>
        <xdr:cNvPr id="1196" name="Image_1211" descr="Image_1211"/>
        <xdr:cNvPicPr>
          <a:picLocks noChangeAspect="1"/>
        </xdr:cNvPicPr>
      </xdr:nvPicPr>
      <xdr:blipFill>
        <a:blip xmlns:r="http://schemas.openxmlformats.org/officeDocument/2006/relationships" r:embed="rId1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1211</xdr:row>
      <xdr:rowOff>95250</xdr:rowOff>
    </xdr:from>
    <xdr:ext cx="1143000" cy="1143000"/>
    <xdr:pic>
      <xdr:nvPicPr>
        <xdr:cNvPr id="1197" name="Image_1212" descr="Image_1212"/>
        <xdr:cNvPicPr>
          <a:picLocks noChangeAspect="1"/>
        </xdr:cNvPicPr>
      </xdr:nvPicPr>
      <xdr:blipFill>
        <a:blip xmlns:r="http://schemas.openxmlformats.org/officeDocument/2006/relationships" r:embed="rId1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1212</xdr:row>
      <xdr:rowOff>95250</xdr:rowOff>
    </xdr:from>
    <xdr:ext cx="1143000" cy="1143000"/>
    <xdr:pic>
      <xdr:nvPicPr>
        <xdr:cNvPr id="1198" name="Image_1213" descr="Image_1213"/>
        <xdr:cNvPicPr>
          <a:picLocks noChangeAspect="1"/>
        </xdr:cNvPicPr>
      </xdr:nvPicPr>
      <xdr:blipFill>
        <a:blip xmlns:r="http://schemas.openxmlformats.org/officeDocument/2006/relationships" r:embed="rId1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1213</xdr:row>
      <xdr:rowOff>95250</xdr:rowOff>
    </xdr:from>
    <xdr:ext cx="1143000" cy="1143000"/>
    <xdr:pic>
      <xdr:nvPicPr>
        <xdr:cNvPr id="1199" name="Image_1214" descr="Image_1214"/>
        <xdr:cNvPicPr>
          <a:picLocks noChangeAspect="1"/>
        </xdr:cNvPicPr>
      </xdr:nvPicPr>
      <xdr:blipFill>
        <a:blip xmlns:r="http://schemas.openxmlformats.org/officeDocument/2006/relationships" r:embed="rId1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1214</xdr:row>
      <xdr:rowOff>95250</xdr:rowOff>
    </xdr:from>
    <xdr:ext cx="1143000" cy="1143000"/>
    <xdr:pic>
      <xdr:nvPicPr>
        <xdr:cNvPr id="1200" name="Image_1215" descr="Image_1215"/>
        <xdr:cNvPicPr>
          <a:picLocks noChangeAspect="1"/>
        </xdr:cNvPicPr>
      </xdr:nvPicPr>
      <xdr:blipFill>
        <a:blip xmlns:r="http://schemas.openxmlformats.org/officeDocument/2006/relationships" r:embed="rId1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1215</xdr:row>
      <xdr:rowOff>95250</xdr:rowOff>
    </xdr:from>
    <xdr:ext cx="1143000" cy="1143000"/>
    <xdr:pic>
      <xdr:nvPicPr>
        <xdr:cNvPr id="1201" name="Image_1216" descr="Image_1216"/>
        <xdr:cNvPicPr>
          <a:picLocks noChangeAspect="1"/>
        </xdr:cNvPicPr>
      </xdr:nvPicPr>
      <xdr:blipFill>
        <a:blip xmlns:r="http://schemas.openxmlformats.org/officeDocument/2006/relationships" r:embed="rId1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1216</xdr:row>
      <xdr:rowOff>95250</xdr:rowOff>
    </xdr:from>
    <xdr:ext cx="1143000" cy="1143000"/>
    <xdr:pic>
      <xdr:nvPicPr>
        <xdr:cNvPr id="1202" name="Image_1217" descr="Image_1217"/>
        <xdr:cNvPicPr>
          <a:picLocks noChangeAspect="1"/>
        </xdr:cNvPicPr>
      </xdr:nvPicPr>
      <xdr:blipFill>
        <a:blip xmlns:r="http://schemas.openxmlformats.org/officeDocument/2006/relationships" r:embed="rId1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1217</xdr:row>
      <xdr:rowOff>95250</xdr:rowOff>
    </xdr:from>
    <xdr:ext cx="1143000" cy="1143000"/>
    <xdr:pic>
      <xdr:nvPicPr>
        <xdr:cNvPr id="1203" name="Image_1218" descr="Image_1218"/>
        <xdr:cNvPicPr>
          <a:picLocks noChangeAspect="1"/>
        </xdr:cNvPicPr>
      </xdr:nvPicPr>
      <xdr:blipFill>
        <a:blip xmlns:r="http://schemas.openxmlformats.org/officeDocument/2006/relationships" r:embed="rId1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1218</xdr:row>
      <xdr:rowOff>95250</xdr:rowOff>
    </xdr:from>
    <xdr:ext cx="1143000" cy="1143000"/>
    <xdr:pic>
      <xdr:nvPicPr>
        <xdr:cNvPr id="1204" name="Image_1219" descr="Image_1219"/>
        <xdr:cNvPicPr>
          <a:picLocks noChangeAspect="1"/>
        </xdr:cNvPicPr>
      </xdr:nvPicPr>
      <xdr:blipFill>
        <a:blip xmlns:r="http://schemas.openxmlformats.org/officeDocument/2006/relationships" r:embed="rId1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1219</xdr:row>
      <xdr:rowOff>95250</xdr:rowOff>
    </xdr:from>
    <xdr:ext cx="1143000" cy="1143000"/>
    <xdr:pic>
      <xdr:nvPicPr>
        <xdr:cNvPr id="1205" name="Image_1220" descr="Image_1220"/>
        <xdr:cNvPicPr>
          <a:picLocks noChangeAspect="1"/>
        </xdr:cNvPicPr>
      </xdr:nvPicPr>
      <xdr:blipFill>
        <a:blip xmlns:r="http://schemas.openxmlformats.org/officeDocument/2006/relationships" r:embed="rId1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1220</xdr:row>
      <xdr:rowOff>95250</xdr:rowOff>
    </xdr:from>
    <xdr:ext cx="1143000" cy="1143000"/>
    <xdr:pic>
      <xdr:nvPicPr>
        <xdr:cNvPr id="1206" name="Image_1221" descr="Image_1221"/>
        <xdr:cNvPicPr>
          <a:picLocks noChangeAspect="1"/>
        </xdr:cNvPicPr>
      </xdr:nvPicPr>
      <xdr:blipFill>
        <a:blip xmlns:r="http://schemas.openxmlformats.org/officeDocument/2006/relationships" r:embed="rId1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1221</xdr:row>
      <xdr:rowOff>95250</xdr:rowOff>
    </xdr:from>
    <xdr:ext cx="1143000" cy="1143000"/>
    <xdr:pic>
      <xdr:nvPicPr>
        <xdr:cNvPr id="1207" name="Image_1222" descr="Image_1222"/>
        <xdr:cNvPicPr>
          <a:picLocks noChangeAspect="1"/>
        </xdr:cNvPicPr>
      </xdr:nvPicPr>
      <xdr:blipFill>
        <a:blip xmlns:r="http://schemas.openxmlformats.org/officeDocument/2006/relationships" r:embed="rId1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1222</xdr:row>
      <xdr:rowOff>95250</xdr:rowOff>
    </xdr:from>
    <xdr:ext cx="1143000" cy="1143000"/>
    <xdr:pic>
      <xdr:nvPicPr>
        <xdr:cNvPr id="1208" name="Image_1223" descr="Image_1223"/>
        <xdr:cNvPicPr>
          <a:picLocks noChangeAspect="1"/>
        </xdr:cNvPicPr>
      </xdr:nvPicPr>
      <xdr:blipFill>
        <a:blip xmlns:r="http://schemas.openxmlformats.org/officeDocument/2006/relationships" r:embed="rId1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1223</xdr:row>
      <xdr:rowOff>95250</xdr:rowOff>
    </xdr:from>
    <xdr:ext cx="1143000" cy="1143000"/>
    <xdr:pic>
      <xdr:nvPicPr>
        <xdr:cNvPr id="1209" name="Image_1224" descr="Image_1224"/>
        <xdr:cNvPicPr>
          <a:picLocks noChangeAspect="1"/>
        </xdr:cNvPicPr>
      </xdr:nvPicPr>
      <xdr:blipFill>
        <a:blip xmlns:r="http://schemas.openxmlformats.org/officeDocument/2006/relationships" r:embed="rId1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1224</xdr:row>
      <xdr:rowOff>95250</xdr:rowOff>
    </xdr:from>
    <xdr:ext cx="1143000" cy="1143000"/>
    <xdr:pic>
      <xdr:nvPicPr>
        <xdr:cNvPr id="1210" name="Image_1225" descr="Image_1225"/>
        <xdr:cNvPicPr>
          <a:picLocks noChangeAspect="1"/>
        </xdr:cNvPicPr>
      </xdr:nvPicPr>
      <xdr:blipFill>
        <a:blip xmlns:r="http://schemas.openxmlformats.org/officeDocument/2006/relationships" r:embed="rId1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1225</xdr:row>
      <xdr:rowOff>95250</xdr:rowOff>
    </xdr:from>
    <xdr:ext cx="1143000" cy="1143000"/>
    <xdr:pic>
      <xdr:nvPicPr>
        <xdr:cNvPr id="1211" name="Image_1226" descr="Image_1226"/>
        <xdr:cNvPicPr>
          <a:picLocks noChangeAspect="1"/>
        </xdr:cNvPicPr>
      </xdr:nvPicPr>
      <xdr:blipFill>
        <a:blip xmlns:r="http://schemas.openxmlformats.org/officeDocument/2006/relationships" r:embed="rId1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1226</xdr:row>
      <xdr:rowOff>95250</xdr:rowOff>
    </xdr:from>
    <xdr:ext cx="1143000" cy="1143000"/>
    <xdr:pic>
      <xdr:nvPicPr>
        <xdr:cNvPr id="1212" name="Image_1227" descr="Image_1227"/>
        <xdr:cNvPicPr>
          <a:picLocks noChangeAspect="1"/>
        </xdr:cNvPicPr>
      </xdr:nvPicPr>
      <xdr:blipFill>
        <a:blip xmlns:r="http://schemas.openxmlformats.org/officeDocument/2006/relationships" r:embed="rId1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1227</xdr:row>
      <xdr:rowOff>95250</xdr:rowOff>
    </xdr:from>
    <xdr:ext cx="1143000" cy="1143000"/>
    <xdr:pic>
      <xdr:nvPicPr>
        <xdr:cNvPr id="1213" name="Image_1228" descr="Image_1228"/>
        <xdr:cNvPicPr>
          <a:picLocks noChangeAspect="1"/>
        </xdr:cNvPicPr>
      </xdr:nvPicPr>
      <xdr:blipFill>
        <a:blip xmlns:r="http://schemas.openxmlformats.org/officeDocument/2006/relationships" r:embed="rId1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1228</xdr:row>
      <xdr:rowOff>95250</xdr:rowOff>
    </xdr:from>
    <xdr:ext cx="1143000" cy="1143000"/>
    <xdr:pic>
      <xdr:nvPicPr>
        <xdr:cNvPr id="1214" name="Image_1229" descr="Image_1229"/>
        <xdr:cNvPicPr>
          <a:picLocks noChangeAspect="1"/>
        </xdr:cNvPicPr>
      </xdr:nvPicPr>
      <xdr:blipFill>
        <a:blip xmlns:r="http://schemas.openxmlformats.org/officeDocument/2006/relationships" r:embed="rId1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1229</xdr:row>
      <xdr:rowOff>95250</xdr:rowOff>
    </xdr:from>
    <xdr:ext cx="1143000" cy="1143000"/>
    <xdr:pic>
      <xdr:nvPicPr>
        <xdr:cNvPr id="1215" name="Image_1230" descr="Image_1230"/>
        <xdr:cNvPicPr>
          <a:picLocks noChangeAspect="1"/>
        </xdr:cNvPicPr>
      </xdr:nvPicPr>
      <xdr:blipFill>
        <a:blip xmlns:r="http://schemas.openxmlformats.org/officeDocument/2006/relationships" r:embed="rId1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1230</xdr:row>
      <xdr:rowOff>95250</xdr:rowOff>
    </xdr:from>
    <xdr:ext cx="1143000" cy="1143000"/>
    <xdr:pic>
      <xdr:nvPicPr>
        <xdr:cNvPr id="1216" name="Image_1231" descr="Image_1231"/>
        <xdr:cNvPicPr>
          <a:picLocks noChangeAspect="1"/>
        </xdr:cNvPicPr>
      </xdr:nvPicPr>
      <xdr:blipFill>
        <a:blip xmlns:r="http://schemas.openxmlformats.org/officeDocument/2006/relationships" r:embed="rId1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1231</xdr:row>
      <xdr:rowOff>95250</xdr:rowOff>
    </xdr:from>
    <xdr:ext cx="1143000" cy="1143000"/>
    <xdr:pic>
      <xdr:nvPicPr>
        <xdr:cNvPr id="1217" name="Image_1232" descr="Image_1232"/>
        <xdr:cNvPicPr>
          <a:picLocks noChangeAspect="1"/>
        </xdr:cNvPicPr>
      </xdr:nvPicPr>
      <xdr:blipFill>
        <a:blip xmlns:r="http://schemas.openxmlformats.org/officeDocument/2006/relationships" r:embed="rId1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1232</xdr:row>
      <xdr:rowOff>95250</xdr:rowOff>
    </xdr:from>
    <xdr:ext cx="1143000" cy="1143000"/>
    <xdr:pic>
      <xdr:nvPicPr>
        <xdr:cNvPr id="1218" name="Image_1233" descr="Image_1233"/>
        <xdr:cNvPicPr>
          <a:picLocks noChangeAspect="1"/>
        </xdr:cNvPicPr>
      </xdr:nvPicPr>
      <xdr:blipFill>
        <a:blip xmlns:r="http://schemas.openxmlformats.org/officeDocument/2006/relationships" r:embed="rId1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1233</xdr:row>
      <xdr:rowOff>95250</xdr:rowOff>
    </xdr:from>
    <xdr:ext cx="1143000" cy="1143000"/>
    <xdr:pic>
      <xdr:nvPicPr>
        <xdr:cNvPr id="1219" name="Image_1234" descr="Image_1234"/>
        <xdr:cNvPicPr>
          <a:picLocks noChangeAspect="1"/>
        </xdr:cNvPicPr>
      </xdr:nvPicPr>
      <xdr:blipFill>
        <a:blip xmlns:r="http://schemas.openxmlformats.org/officeDocument/2006/relationships" r:embed="rId1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1234</xdr:row>
      <xdr:rowOff>95250</xdr:rowOff>
    </xdr:from>
    <xdr:ext cx="1143000" cy="1143000"/>
    <xdr:pic>
      <xdr:nvPicPr>
        <xdr:cNvPr id="1220" name="Image_1235" descr="Image_1235"/>
        <xdr:cNvPicPr>
          <a:picLocks noChangeAspect="1"/>
        </xdr:cNvPicPr>
      </xdr:nvPicPr>
      <xdr:blipFill>
        <a:blip xmlns:r="http://schemas.openxmlformats.org/officeDocument/2006/relationships" r:embed="rId1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1235</xdr:row>
      <xdr:rowOff>95250</xdr:rowOff>
    </xdr:from>
    <xdr:ext cx="1143000" cy="1143000"/>
    <xdr:pic>
      <xdr:nvPicPr>
        <xdr:cNvPr id="1221" name="Image_1236" descr="Image_1236"/>
        <xdr:cNvPicPr>
          <a:picLocks noChangeAspect="1"/>
        </xdr:cNvPicPr>
      </xdr:nvPicPr>
      <xdr:blipFill>
        <a:blip xmlns:r="http://schemas.openxmlformats.org/officeDocument/2006/relationships" r:embed="rId1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1236</xdr:row>
      <xdr:rowOff>95250</xdr:rowOff>
    </xdr:from>
    <xdr:ext cx="1143000" cy="1143000"/>
    <xdr:pic>
      <xdr:nvPicPr>
        <xdr:cNvPr id="1222" name="Image_1237" descr="Image_1237"/>
        <xdr:cNvPicPr>
          <a:picLocks noChangeAspect="1"/>
        </xdr:cNvPicPr>
      </xdr:nvPicPr>
      <xdr:blipFill>
        <a:blip xmlns:r="http://schemas.openxmlformats.org/officeDocument/2006/relationships" r:embed="rId1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1237</xdr:row>
      <xdr:rowOff>95250</xdr:rowOff>
    </xdr:from>
    <xdr:ext cx="1143000" cy="1143000"/>
    <xdr:pic>
      <xdr:nvPicPr>
        <xdr:cNvPr id="1223" name="Image_1238" descr="Image_1238"/>
        <xdr:cNvPicPr>
          <a:picLocks noChangeAspect="1"/>
        </xdr:cNvPicPr>
      </xdr:nvPicPr>
      <xdr:blipFill>
        <a:blip xmlns:r="http://schemas.openxmlformats.org/officeDocument/2006/relationships" r:embed="rId1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1238</xdr:row>
      <xdr:rowOff>95250</xdr:rowOff>
    </xdr:from>
    <xdr:ext cx="1143000" cy="1143000"/>
    <xdr:pic>
      <xdr:nvPicPr>
        <xdr:cNvPr id="1224" name="Image_1239" descr="Image_1239"/>
        <xdr:cNvPicPr>
          <a:picLocks noChangeAspect="1"/>
        </xdr:cNvPicPr>
      </xdr:nvPicPr>
      <xdr:blipFill>
        <a:blip xmlns:r="http://schemas.openxmlformats.org/officeDocument/2006/relationships" r:embed="rId1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1240</xdr:row>
      <xdr:rowOff>95250</xdr:rowOff>
    </xdr:from>
    <xdr:ext cx="1143000" cy="1143000"/>
    <xdr:pic>
      <xdr:nvPicPr>
        <xdr:cNvPr id="1225" name="Image_1241" descr="Image_1241"/>
        <xdr:cNvPicPr>
          <a:picLocks noChangeAspect="1"/>
        </xdr:cNvPicPr>
      </xdr:nvPicPr>
      <xdr:blipFill>
        <a:blip xmlns:r="http://schemas.openxmlformats.org/officeDocument/2006/relationships" r:embed="rId1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1241</xdr:row>
      <xdr:rowOff>95250</xdr:rowOff>
    </xdr:from>
    <xdr:ext cx="1143000" cy="1143000"/>
    <xdr:pic>
      <xdr:nvPicPr>
        <xdr:cNvPr id="1226" name="Image_1242" descr="Image_1242"/>
        <xdr:cNvPicPr>
          <a:picLocks noChangeAspect="1"/>
        </xdr:cNvPicPr>
      </xdr:nvPicPr>
      <xdr:blipFill>
        <a:blip xmlns:r="http://schemas.openxmlformats.org/officeDocument/2006/relationships" r:embed="rId1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1242</xdr:row>
      <xdr:rowOff>95250</xdr:rowOff>
    </xdr:from>
    <xdr:ext cx="1143000" cy="1143000"/>
    <xdr:pic>
      <xdr:nvPicPr>
        <xdr:cNvPr id="1227" name="Image_1243" descr="Image_1243"/>
        <xdr:cNvPicPr>
          <a:picLocks noChangeAspect="1"/>
        </xdr:cNvPicPr>
      </xdr:nvPicPr>
      <xdr:blipFill>
        <a:blip xmlns:r="http://schemas.openxmlformats.org/officeDocument/2006/relationships" r:embed="rId1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1243</xdr:row>
      <xdr:rowOff>95250</xdr:rowOff>
    </xdr:from>
    <xdr:ext cx="1143000" cy="1143000"/>
    <xdr:pic>
      <xdr:nvPicPr>
        <xdr:cNvPr id="1228" name="Image_1244" descr="Image_1244"/>
        <xdr:cNvPicPr>
          <a:picLocks noChangeAspect="1"/>
        </xdr:cNvPicPr>
      </xdr:nvPicPr>
      <xdr:blipFill>
        <a:blip xmlns:r="http://schemas.openxmlformats.org/officeDocument/2006/relationships" r:embed="rId1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1244</xdr:row>
      <xdr:rowOff>95250</xdr:rowOff>
    </xdr:from>
    <xdr:ext cx="1143000" cy="1143000"/>
    <xdr:pic>
      <xdr:nvPicPr>
        <xdr:cNvPr id="1229" name="Image_1245" descr="Image_1245"/>
        <xdr:cNvPicPr>
          <a:picLocks noChangeAspect="1"/>
        </xdr:cNvPicPr>
      </xdr:nvPicPr>
      <xdr:blipFill>
        <a:blip xmlns:r="http://schemas.openxmlformats.org/officeDocument/2006/relationships" r:embed="rId1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1245</xdr:row>
      <xdr:rowOff>95250</xdr:rowOff>
    </xdr:from>
    <xdr:ext cx="1143000" cy="1143000"/>
    <xdr:pic>
      <xdr:nvPicPr>
        <xdr:cNvPr id="1230" name="Image_1246" descr="Image_1246"/>
        <xdr:cNvPicPr>
          <a:picLocks noChangeAspect="1"/>
        </xdr:cNvPicPr>
      </xdr:nvPicPr>
      <xdr:blipFill>
        <a:blip xmlns:r="http://schemas.openxmlformats.org/officeDocument/2006/relationships" r:embed="rId1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1246</xdr:row>
      <xdr:rowOff>95250</xdr:rowOff>
    </xdr:from>
    <xdr:ext cx="1143000" cy="1143000"/>
    <xdr:pic>
      <xdr:nvPicPr>
        <xdr:cNvPr id="1231" name="Image_1247" descr="Image_1247"/>
        <xdr:cNvPicPr>
          <a:picLocks noChangeAspect="1"/>
        </xdr:cNvPicPr>
      </xdr:nvPicPr>
      <xdr:blipFill>
        <a:blip xmlns:r="http://schemas.openxmlformats.org/officeDocument/2006/relationships" r:embed="rId1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1247</xdr:row>
      <xdr:rowOff>95250</xdr:rowOff>
    </xdr:from>
    <xdr:ext cx="1143000" cy="1143000"/>
    <xdr:pic>
      <xdr:nvPicPr>
        <xdr:cNvPr id="1232" name="Image_1248" descr="Image_1248"/>
        <xdr:cNvPicPr>
          <a:picLocks noChangeAspect="1"/>
        </xdr:cNvPicPr>
      </xdr:nvPicPr>
      <xdr:blipFill>
        <a:blip xmlns:r="http://schemas.openxmlformats.org/officeDocument/2006/relationships" r:embed="rId1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1248</xdr:row>
      <xdr:rowOff>95250</xdr:rowOff>
    </xdr:from>
    <xdr:ext cx="1143000" cy="1143000"/>
    <xdr:pic>
      <xdr:nvPicPr>
        <xdr:cNvPr id="1233" name="Image_1249" descr="Image_1249"/>
        <xdr:cNvPicPr>
          <a:picLocks noChangeAspect="1"/>
        </xdr:cNvPicPr>
      </xdr:nvPicPr>
      <xdr:blipFill>
        <a:blip xmlns:r="http://schemas.openxmlformats.org/officeDocument/2006/relationships" r:embed="rId1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1249</xdr:row>
      <xdr:rowOff>95250</xdr:rowOff>
    </xdr:from>
    <xdr:ext cx="1143000" cy="1143000"/>
    <xdr:pic>
      <xdr:nvPicPr>
        <xdr:cNvPr id="1234" name="Image_1250" descr="Image_1250"/>
        <xdr:cNvPicPr>
          <a:picLocks noChangeAspect="1"/>
        </xdr:cNvPicPr>
      </xdr:nvPicPr>
      <xdr:blipFill>
        <a:blip xmlns:r="http://schemas.openxmlformats.org/officeDocument/2006/relationships" r:embed="rId1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1250</xdr:row>
      <xdr:rowOff>95250</xdr:rowOff>
    </xdr:from>
    <xdr:ext cx="1143000" cy="1143000"/>
    <xdr:pic>
      <xdr:nvPicPr>
        <xdr:cNvPr id="1235" name="Image_1251" descr="Image_1251"/>
        <xdr:cNvPicPr>
          <a:picLocks noChangeAspect="1"/>
        </xdr:cNvPicPr>
      </xdr:nvPicPr>
      <xdr:blipFill>
        <a:blip xmlns:r="http://schemas.openxmlformats.org/officeDocument/2006/relationships" r:embed="rId1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1251</xdr:row>
      <xdr:rowOff>95250</xdr:rowOff>
    </xdr:from>
    <xdr:ext cx="1143000" cy="1143000"/>
    <xdr:pic>
      <xdr:nvPicPr>
        <xdr:cNvPr id="1236" name="Image_1252" descr="Image_1252"/>
        <xdr:cNvPicPr>
          <a:picLocks noChangeAspect="1"/>
        </xdr:cNvPicPr>
      </xdr:nvPicPr>
      <xdr:blipFill>
        <a:blip xmlns:r="http://schemas.openxmlformats.org/officeDocument/2006/relationships" r:embed="rId1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1252</xdr:row>
      <xdr:rowOff>95250</xdr:rowOff>
    </xdr:from>
    <xdr:ext cx="1143000" cy="1143000"/>
    <xdr:pic>
      <xdr:nvPicPr>
        <xdr:cNvPr id="1237" name="Image_1253" descr="Image_1253"/>
        <xdr:cNvPicPr>
          <a:picLocks noChangeAspect="1"/>
        </xdr:cNvPicPr>
      </xdr:nvPicPr>
      <xdr:blipFill>
        <a:blip xmlns:r="http://schemas.openxmlformats.org/officeDocument/2006/relationships" r:embed="rId1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1253</xdr:row>
      <xdr:rowOff>95250</xdr:rowOff>
    </xdr:from>
    <xdr:ext cx="1143000" cy="1143000"/>
    <xdr:pic>
      <xdr:nvPicPr>
        <xdr:cNvPr id="1238" name="Image_1254" descr="Image_1254"/>
        <xdr:cNvPicPr>
          <a:picLocks noChangeAspect="1"/>
        </xdr:cNvPicPr>
      </xdr:nvPicPr>
      <xdr:blipFill>
        <a:blip xmlns:r="http://schemas.openxmlformats.org/officeDocument/2006/relationships" r:embed="rId1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1254</xdr:row>
      <xdr:rowOff>95250</xdr:rowOff>
    </xdr:from>
    <xdr:ext cx="1143000" cy="1143000"/>
    <xdr:pic>
      <xdr:nvPicPr>
        <xdr:cNvPr id="1239" name="Image_1255" descr="Image_1255"/>
        <xdr:cNvPicPr>
          <a:picLocks noChangeAspect="1"/>
        </xdr:cNvPicPr>
      </xdr:nvPicPr>
      <xdr:blipFill>
        <a:blip xmlns:r="http://schemas.openxmlformats.org/officeDocument/2006/relationships" r:embed="rId1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1255</xdr:row>
      <xdr:rowOff>95250</xdr:rowOff>
    </xdr:from>
    <xdr:ext cx="1143000" cy="1143000"/>
    <xdr:pic>
      <xdr:nvPicPr>
        <xdr:cNvPr id="1240" name="Image_1256" descr="Image_1256"/>
        <xdr:cNvPicPr>
          <a:picLocks noChangeAspect="1"/>
        </xdr:cNvPicPr>
      </xdr:nvPicPr>
      <xdr:blipFill>
        <a:blip xmlns:r="http://schemas.openxmlformats.org/officeDocument/2006/relationships" r:embed="rId1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1256</xdr:row>
      <xdr:rowOff>95250</xdr:rowOff>
    </xdr:from>
    <xdr:ext cx="1143000" cy="1143000"/>
    <xdr:pic>
      <xdr:nvPicPr>
        <xdr:cNvPr id="1241" name="Image_1257" descr="Image_1257"/>
        <xdr:cNvPicPr>
          <a:picLocks noChangeAspect="1"/>
        </xdr:cNvPicPr>
      </xdr:nvPicPr>
      <xdr:blipFill>
        <a:blip xmlns:r="http://schemas.openxmlformats.org/officeDocument/2006/relationships" r:embed="rId1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1257</xdr:row>
      <xdr:rowOff>95250</xdr:rowOff>
    </xdr:from>
    <xdr:ext cx="1143000" cy="1143000"/>
    <xdr:pic>
      <xdr:nvPicPr>
        <xdr:cNvPr id="1242" name="Image_1258" descr="Image_1258"/>
        <xdr:cNvPicPr>
          <a:picLocks noChangeAspect="1"/>
        </xdr:cNvPicPr>
      </xdr:nvPicPr>
      <xdr:blipFill>
        <a:blip xmlns:r="http://schemas.openxmlformats.org/officeDocument/2006/relationships" r:embed="rId1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1258</xdr:row>
      <xdr:rowOff>95250</xdr:rowOff>
    </xdr:from>
    <xdr:ext cx="1143000" cy="1143000"/>
    <xdr:pic>
      <xdr:nvPicPr>
        <xdr:cNvPr id="1243" name="Image_1259" descr="Image_1259"/>
        <xdr:cNvPicPr>
          <a:picLocks noChangeAspect="1"/>
        </xdr:cNvPicPr>
      </xdr:nvPicPr>
      <xdr:blipFill>
        <a:blip xmlns:r="http://schemas.openxmlformats.org/officeDocument/2006/relationships" r:embed="rId1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1259</xdr:row>
      <xdr:rowOff>95250</xdr:rowOff>
    </xdr:from>
    <xdr:ext cx="1143000" cy="1143000"/>
    <xdr:pic>
      <xdr:nvPicPr>
        <xdr:cNvPr id="1244" name="Image_1260" descr="Image_1260"/>
        <xdr:cNvPicPr>
          <a:picLocks noChangeAspect="1"/>
        </xdr:cNvPicPr>
      </xdr:nvPicPr>
      <xdr:blipFill>
        <a:blip xmlns:r="http://schemas.openxmlformats.org/officeDocument/2006/relationships" r:embed="rId1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1260</xdr:row>
      <xdr:rowOff>95250</xdr:rowOff>
    </xdr:from>
    <xdr:ext cx="1143000" cy="1143000"/>
    <xdr:pic>
      <xdr:nvPicPr>
        <xdr:cNvPr id="1245" name="Image_1261" descr="Image_1261"/>
        <xdr:cNvPicPr>
          <a:picLocks noChangeAspect="1"/>
        </xdr:cNvPicPr>
      </xdr:nvPicPr>
      <xdr:blipFill>
        <a:blip xmlns:r="http://schemas.openxmlformats.org/officeDocument/2006/relationships" r:embed="rId1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1261</xdr:row>
      <xdr:rowOff>95250</xdr:rowOff>
    </xdr:from>
    <xdr:ext cx="1143000" cy="1143000"/>
    <xdr:pic>
      <xdr:nvPicPr>
        <xdr:cNvPr id="1246" name="Image_1262" descr="Image_1262"/>
        <xdr:cNvPicPr>
          <a:picLocks noChangeAspect="1"/>
        </xdr:cNvPicPr>
      </xdr:nvPicPr>
      <xdr:blipFill>
        <a:blip xmlns:r="http://schemas.openxmlformats.org/officeDocument/2006/relationships" r:embed="rId1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1262</xdr:row>
      <xdr:rowOff>95250</xdr:rowOff>
    </xdr:from>
    <xdr:ext cx="1143000" cy="1143000"/>
    <xdr:pic>
      <xdr:nvPicPr>
        <xdr:cNvPr id="1247" name="Image_1263" descr="Image_1263"/>
        <xdr:cNvPicPr>
          <a:picLocks noChangeAspect="1"/>
        </xdr:cNvPicPr>
      </xdr:nvPicPr>
      <xdr:blipFill>
        <a:blip xmlns:r="http://schemas.openxmlformats.org/officeDocument/2006/relationships" r:embed="rId1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1263</xdr:row>
      <xdr:rowOff>95250</xdr:rowOff>
    </xdr:from>
    <xdr:ext cx="1143000" cy="1143000"/>
    <xdr:pic>
      <xdr:nvPicPr>
        <xdr:cNvPr id="1248" name="Image_1264" descr="Image_1264"/>
        <xdr:cNvPicPr>
          <a:picLocks noChangeAspect="1"/>
        </xdr:cNvPicPr>
      </xdr:nvPicPr>
      <xdr:blipFill>
        <a:blip xmlns:r="http://schemas.openxmlformats.org/officeDocument/2006/relationships" r:embed="rId1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1264</xdr:row>
      <xdr:rowOff>95250</xdr:rowOff>
    </xdr:from>
    <xdr:ext cx="1143000" cy="1143000"/>
    <xdr:pic>
      <xdr:nvPicPr>
        <xdr:cNvPr id="1249" name="Image_1265" descr="Image_1265"/>
        <xdr:cNvPicPr>
          <a:picLocks noChangeAspect="1"/>
        </xdr:cNvPicPr>
      </xdr:nvPicPr>
      <xdr:blipFill>
        <a:blip xmlns:r="http://schemas.openxmlformats.org/officeDocument/2006/relationships" r:embed="rId1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6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SUM(J2:J1265)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929685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J5*51.66</f>
        <v>0</v>
      </c>
      <c r="L5" s="5"/>
    </row>
    <row r="6" spans="1:12" customHeight="1" ht="105" outlineLevel="4">
      <c r="A6" s="1"/>
      <c r="B6" s="1">
        <v>929686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J6*79.30</f>
        <v>0</v>
      </c>
      <c r="L6" s="5"/>
    </row>
    <row r="7" spans="1:12" customHeight="1" ht="105" outlineLevel="4">
      <c r="A7" s="1"/>
      <c r="B7" s="1">
        <v>929687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J7*132.08</f>
        <v>0</v>
      </c>
      <c r="L7" s="5"/>
    </row>
    <row r="8" spans="1:12" customHeight="1" ht="105" outlineLevel="4">
      <c r="A8" s="1"/>
      <c r="B8" s="1">
        <v>929688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J8*205.23</f>
        <v>0</v>
      </c>
      <c r="L8" s="5"/>
    </row>
    <row r="9" spans="1:12" customHeight="1" ht="105" outlineLevel="4">
      <c r="A9" s="1"/>
      <c r="B9" s="1">
        <v>929689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J9*326.72</f>
        <v>0</v>
      </c>
      <c r="L9" s="5"/>
    </row>
    <row r="10" spans="1:12" customHeight="1" ht="105" outlineLevel="4">
      <c r="A10" s="1"/>
      <c r="B10" s="1">
        <v>929690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J10*505.21</f>
        <v>0</v>
      </c>
      <c r="L10" s="5"/>
    </row>
    <row r="11" spans="1:12" customHeight="1" ht="105" outlineLevel="4">
      <c r="A11" s="1"/>
      <c r="B11" s="1">
        <v>929691</v>
      </c>
      <c r="C11" s="1" t="s">
        <v>32</v>
      </c>
      <c r="D11" s="1"/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J11*651.56</f>
        <v>0</v>
      </c>
      <c r="L11" s="5"/>
    </row>
    <row r="12" spans="1:12" customHeight="1" ht="105" outlineLevel="4">
      <c r="A12" s="1"/>
      <c r="B12" s="1">
        <v>929692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J12*971.08</f>
        <v>0</v>
      </c>
      <c r="L12" s="5"/>
    </row>
    <row r="13" spans="1:12" customHeight="1" ht="105" outlineLevel="4">
      <c r="A13" s="1"/>
      <c r="B13" s="1">
        <v>929693</v>
      </c>
      <c r="C13" s="1" t="s">
        <v>38</v>
      </c>
      <c r="D13" s="1"/>
      <c r="E13" s="2" t="s">
        <v>39</v>
      </c>
      <c r="F13" s="2" t="s">
        <v>40</v>
      </c>
      <c r="G13" s="2">
        <v>0</v>
      </c>
      <c r="H13" s="2">
        <v>0</v>
      </c>
      <c r="I13" s="1">
        <v>0</v>
      </c>
      <c r="J13" s="3" t="s">
        <v>16</v>
      </c>
      <c r="K13" s="2" t="str">
        <f>J13*1468.74</f>
        <v>0</v>
      </c>
      <c r="L13" s="5"/>
    </row>
    <row r="14" spans="1:12" customHeight="1" ht="105" outlineLevel="4">
      <c r="A14" s="1"/>
      <c r="B14" s="1">
        <v>929694</v>
      </c>
      <c r="C14" s="1" t="s">
        <v>41</v>
      </c>
      <c r="D14" s="1"/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16</v>
      </c>
      <c r="K14" s="2" t="str">
        <f>J14*2109.66</f>
        <v>0</v>
      </c>
      <c r="L14" s="5"/>
    </row>
    <row r="15" spans="1:12" customHeight="1" ht="105" outlineLevel="4">
      <c r="A15" s="1"/>
      <c r="B15" s="1">
        <v>929695</v>
      </c>
      <c r="C15" s="1" t="s">
        <v>44</v>
      </c>
      <c r="D15" s="1"/>
      <c r="E15" s="2" t="s">
        <v>45</v>
      </c>
      <c r="F15" s="2" t="s">
        <v>46</v>
      </c>
      <c r="G15" s="2">
        <v>0</v>
      </c>
      <c r="H15" s="2">
        <v>0</v>
      </c>
      <c r="I15" s="1">
        <v>0</v>
      </c>
      <c r="J15" s="3" t="s">
        <v>16</v>
      </c>
      <c r="K15" s="2" t="str">
        <f>J15*3463.58</f>
        <v>0</v>
      </c>
      <c r="L15" s="5"/>
    </row>
    <row r="16" spans="1:12" customHeight="1" ht="105" outlineLevel="4">
      <c r="A16" s="1"/>
      <c r="B16" s="1">
        <v>929696</v>
      </c>
      <c r="C16" s="1" t="s">
        <v>47</v>
      </c>
      <c r="D16" s="1"/>
      <c r="E16" s="2" t="s">
        <v>48</v>
      </c>
      <c r="F16" s="2" t="s">
        <v>15</v>
      </c>
      <c r="G16" s="2">
        <v>0</v>
      </c>
      <c r="H16" s="2">
        <v>0</v>
      </c>
      <c r="I16" s="1">
        <v>0</v>
      </c>
      <c r="J16" s="3" t="s">
        <v>16</v>
      </c>
      <c r="K16" s="2" t="str">
        <f>J16*51.66</f>
        <v>0</v>
      </c>
      <c r="L16" s="5"/>
    </row>
    <row r="17" spans="1:12" customHeight="1" ht="105" outlineLevel="4">
      <c r="A17" s="1"/>
      <c r="B17" s="1">
        <v>929697</v>
      </c>
      <c r="C17" s="1" t="s">
        <v>49</v>
      </c>
      <c r="D17" s="1"/>
      <c r="E17" s="2" t="s">
        <v>50</v>
      </c>
      <c r="F17" s="2" t="s">
        <v>19</v>
      </c>
      <c r="G17" s="2">
        <v>0</v>
      </c>
      <c r="H17" s="2">
        <v>0</v>
      </c>
      <c r="I17" s="1">
        <v>0</v>
      </c>
      <c r="J17" s="3" t="s">
        <v>16</v>
      </c>
      <c r="K17" s="2" t="str">
        <f>J17*79.30</f>
        <v>0</v>
      </c>
      <c r="L17" s="5"/>
    </row>
    <row r="18" spans="1:12" customHeight="1" ht="105" outlineLevel="4">
      <c r="A18" s="1"/>
      <c r="B18" s="1">
        <v>929698</v>
      </c>
      <c r="C18" s="1" t="s">
        <v>51</v>
      </c>
      <c r="D18" s="1"/>
      <c r="E18" s="2" t="s">
        <v>52</v>
      </c>
      <c r="F18" s="2" t="s">
        <v>22</v>
      </c>
      <c r="G18" s="2">
        <v>0</v>
      </c>
      <c r="H18" s="2">
        <v>0</v>
      </c>
      <c r="I18" s="1">
        <v>0</v>
      </c>
      <c r="J18" s="3" t="s">
        <v>16</v>
      </c>
      <c r="K18" s="2" t="str">
        <f>J18*132.08</f>
        <v>0</v>
      </c>
      <c r="L18" s="5"/>
    </row>
    <row r="19" spans="1:12" customHeight="1" ht="105" outlineLevel="4">
      <c r="A19" s="1"/>
      <c r="B19" s="1">
        <v>929699</v>
      </c>
      <c r="C19" s="1" t="s">
        <v>53</v>
      </c>
      <c r="D19" s="1"/>
      <c r="E19" s="2" t="s">
        <v>54</v>
      </c>
      <c r="F19" s="2" t="s">
        <v>25</v>
      </c>
      <c r="G19" s="2">
        <v>0</v>
      </c>
      <c r="H19" s="2">
        <v>0</v>
      </c>
      <c r="I19" s="1">
        <v>0</v>
      </c>
      <c r="J19" s="3" t="s">
        <v>16</v>
      </c>
      <c r="K19" s="2" t="str">
        <f>J19*205.23</f>
        <v>0</v>
      </c>
      <c r="L19" s="5"/>
    </row>
    <row r="20" spans="1:12" customHeight="1" ht="105" outlineLevel="4">
      <c r="A20" s="1"/>
      <c r="B20" s="1">
        <v>929700</v>
      </c>
      <c r="C20" s="1" t="s">
        <v>55</v>
      </c>
      <c r="D20" s="1"/>
      <c r="E20" s="2" t="s">
        <v>56</v>
      </c>
      <c r="F20" s="2" t="s">
        <v>57</v>
      </c>
      <c r="G20" s="2" t="s">
        <v>58</v>
      </c>
      <c r="H20" s="2">
        <v>0</v>
      </c>
      <c r="I20" s="1" t="s">
        <v>58</v>
      </c>
      <c r="J20" s="3" t="s">
        <v>16</v>
      </c>
      <c r="K20" s="2" t="str">
        <f>J20*68.40</f>
        <v>0</v>
      </c>
      <c r="L20" s="5"/>
    </row>
    <row r="21" spans="1:12" customHeight="1" ht="105" outlineLevel="4">
      <c r="A21" s="1"/>
      <c r="B21" s="1">
        <v>929701</v>
      </c>
      <c r="C21" s="1" t="s">
        <v>59</v>
      </c>
      <c r="D21" s="1"/>
      <c r="E21" s="2" t="s">
        <v>60</v>
      </c>
      <c r="F21" s="2" t="s">
        <v>61</v>
      </c>
      <c r="G21" s="2" t="s">
        <v>58</v>
      </c>
      <c r="H21" s="2">
        <v>0</v>
      </c>
      <c r="I21" s="1">
        <v>0</v>
      </c>
      <c r="J21" s="3" t="s">
        <v>16</v>
      </c>
      <c r="K21" s="2" t="str">
        <f>J21*113.13</f>
        <v>0</v>
      </c>
      <c r="L21" s="5"/>
    </row>
    <row r="22" spans="1:12" customHeight="1" ht="105" outlineLevel="4">
      <c r="A22" s="1"/>
      <c r="B22" s="1">
        <v>929702</v>
      </c>
      <c r="C22" s="1" t="s">
        <v>62</v>
      </c>
      <c r="D22" s="1"/>
      <c r="E22" s="2" t="s">
        <v>63</v>
      </c>
      <c r="F22" s="2" t="s">
        <v>64</v>
      </c>
      <c r="G22" s="2" t="s">
        <v>58</v>
      </c>
      <c r="H22" s="2">
        <v>0</v>
      </c>
      <c r="I22" s="1">
        <v>0</v>
      </c>
      <c r="J22" s="3" t="s">
        <v>16</v>
      </c>
      <c r="K22" s="2" t="str">
        <f>J22*189.00</f>
        <v>0</v>
      </c>
      <c r="L22" s="5"/>
    </row>
    <row r="23" spans="1:12" customHeight="1" ht="105" outlineLevel="4">
      <c r="A23" s="1"/>
      <c r="B23" s="1">
        <v>929703</v>
      </c>
      <c r="C23" s="1" t="s">
        <v>65</v>
      </c>
      <c r="D23" s="1"/>
      <c r="E23" s="2" t="s">
        <v>66</v>
      </c>
      <c r="F23" s="2" t="s">
        <v>67</v>
      </c>
      <c r="G23" s="2" t="s">
        <v>58</v>
      </c>
      <c r="H23" s="2">
        <v>0</v>
      </c>
      <c r="I23" s="1">
        <v>0</v>
      </c>
      <c r="J23" s="3" t="s">
        <v>16</v>
      </c>
      <c r="K23" s="2" t="str">
        <f>J23*292.42</f>
        <v>0</v>
      </c>
      <c r="L23" s="5"/>
    </row>
    <row r="24" spans="1:12" customHeight="1" ht="105" outlineLevel="4">
      <c r="A24" s="1"/>
      <c r="B24" s="1">
        <v>929704</v>
      </c>
      <c r="C24" s="1" t="s">
        <v>68</v>
      </c>
      <c r="D24" s="1"/>
      <c r="E24" s="2" t="s">
        <v>69</v>
      </c>
      <c r="F24" s="2" t="s">
        <v>70</v>
      </c>
      <c r="G24" s="2" t="s">
        <v>58</v>
      </c>
      <c r="H24" s="2">
        <v>0</v>
      </c>
      <c r="I24" s="1">
        <v>0</v>
      </c>
      <c r="J24" s="3" t="s">
        <v>16</v>
      </c>
      <c r="K24" s="2" t="str">
        <f>J24*480.24</f>
        <v>0</v>
      </c>
      <c r="L24" s="5"/>
    </row>
    <row r="25" spans="1:12" customHeight="1" ht="105" outlineLevel="4">
      <c r="A25" s="1"/>
      <c r="B25" s="1">
        <v>929705</v>
      </c>
      <c r="C25" s="1" t="s">
        <v>71</v>
      </c>
      <c r="D25" s="1"/>
      <c r="E25" s="2" t="s">
        <v>72</v>
      </c>
      <c r="F25" s="2" t="s">
        <v>73</v>
      </c>
      <c r="G25" s="2" t="s">
        <v>74</v>
      </c>
      <c r="H25" s="2">
        <v>0</v>
      </c>
      <c r="I25" s="1">
        <v>0</v>
      </c>
      <c r="J25" s="3" t="s">
        <v>16</v>
      </c>
      <c r="K25" s="2" t="str">
        <f>J25*759.73</f>
        <v>0</v>
      </c>
      <c r="L25" s="5"/>
    </row>
    <row r="26" spans="1:12" customHeight="1" ht="105" outlineLevel="4">
      <c r="A26" s="1"/>
      <c r="B26" s="1">
        <v>929706</v>
      </c>
      <c r="C26" s="1" t="s">
        <v>75</v>
      </c>
      <c r="D26" s="1"/>
      <c r="E26" s="2" t="s">
        <v>76</v>
      </c>
      <c r="F26" s="2" t="s">
        <v>77</v>
      </c>
      <c r="G26" s="2">
        <v>0</v>
      </c>
      <c r="H26" s="2">
        <v>0</v>
      </c>
      <c r="I26" s="1">
        <v>0</v>
      </c>
      <c r="J26" s="3" t="s">
        <v>16</v>
      </c>
      <c r="K26" s="2" t="str">
        <f>J26*1036.75</f>
        <v>0</v>
      </c>
      <c r="L26" s="5"/>
    </row>
    <row r="27" spans="1:12" customHeight="1" ht="105" outlineLevel="4">
      <c r="A27" s="1"/>
      <c r="B27" s="1">
        <v>929707</v>
      </c>
      <c r="C27" s="1" t="s">
        <v>78</v>
      </c>
      <c r="D27" s="1"/>
      <c r="E27" s="2" t="s">
        <v>79</v>
      </c>
      <c r="F27" s="2" t="s">
        <v>80</v>
      </c>
      <c r="G27" s="2">
        <v>0</v>
      </c>
      <c r="H27" s="2">
        <v>0</v>
      </c>
      <c r="I27" s="1">
        <v>0</v>
      </c>
      <c r="J27" s="3" t="s">
        <v>16</v>
      </c>
      <c r="K27" s="2" t="str">
        <f>J27*1513.92</f>
        <v>0</v>
      </c>
      <c r="L27" s="5"/>
    </row>
    <row r="28" spans="1:12" customHeight="1" ht="105" outlineLevel="4">
      <c r="A28" s="1"/>
      <c r="B28" s="1">
        <v>929708</v>
      </c>
      <c r="C28" s="1" t="s">
        <v>81</v>
      </c>
      <c r="D28" s="1"/>
      <c r="E28" s="2" t="s">
        <v>82</v>
      </c>
      <c r="F28" s="2" t="s">
        <v>83</v>
      </c>
      <c r="G28" s="2">
        <v>0</v>
      </c>
      <c r="H28" s="2">
        <v>0</v>
      </c>
      <c r="I28" s="1">
        <v>0</v>
      </c>
      <c r="J28" s="3" t="s">
        <v>16</v>
      </c>
      <c r="K28" s="2" t="str">
        <f>J28*2234.35</f>
        <v>0</v>
      </c>
      <c r="L28" s="5"/>
    </row>
    <row r="29" spans="1:12" customHeight="1" ht="105" outlineLevel="4">
      <c r="A29" s="1"/>
      <c r="B29" s="1">
        <v>929709</v>
      </c>
      <c r="C29" s="1" t="s">
        <v>84</v>
      </c>
      <c r="D29" s="1"/>
      <c r="E29" s="2" t="s">
        <v>85</v>
      </c>
      <c r="F29" s="2" t="s">
        <v>86</v>
      </c>
      <c r="G29" s="2">
        <v>0</v>
      </c>
      <c r="H29" s="2">
        <v>0</v>
      </c>
      <c r="I29" s="1">
        <v>0</v>
      </c>
      <c r="J29" s="3" t="s">
        <v>16</v>
      </c>
      <c r="K29" s="2" t="str">
        <f>J29*3413.73</f>
        <v>0</v>
      </c>
      <c r="L29" s="5"/>
    </row>
    <row r="30" spans="1:12" customHeight="1" ht="105" outlineLevel="4">
      <c r="A30" s="1"/>
      <c r="B30" s="1">
        <v>929710</v>
      </c>
      <c r="C30" s="1" t="s">
        <v>87</v>
      </c>
      <c r="D30" s="1"/>
      <c r="E30" s="2" t="s">
        <v>88</v>
      </c>
      <c r="F30" s="2" t="s">
        <v>89</v>
      </c>
      <c r="G30" s="2">
        <v>0</v>
      </c>
      <c r="H30" s="2">
        <v>0</v>
      </c>
      <c r="I30" s="1">
        <v>0</v>
      </c>
      <c r="J30" s="3" t="s">
        <v>16</v>
      </c>
      <c r="K30" s="2" t="str">
        <f>J30*5643.48</f>
        <v>0</v>
      </c>
      <c r="L30" s="5"/>
    </row>
    <row r="31" spans="1:12" customHeight="1" ht="105" outlineLevel="4">
      <c r="A31" s="1"/>
      <c r="B31" s="1">
        <v>929711</v>
      </c>
      <c r="C31" s="1" t="s">
        <v>90</v>
      </c>
      <c r="D31" s="1"/>
      <c r="E31" s="2" t="s">
        <v>91</v>
      </c>
      <c r="F31" s="2" t="s">
        <v>57</v>
      </c>
      <c r="G31" s="2" t="s">
        <v>58</v>
      </c>
      <c r="H31" s="2">
        <v>0</v>
      </c>
      <c r="I31" s="1">
        <v>0</v>
      </c>
      <c r="J31" s="3" t="s">
        <v>16</v>
      </c>
      <c r="K31" s="2" t="str">
        <f>J31*68.40</f>
        <v>0</v>
      </c>
      <c r="L31" s="5"/>
    </row>
    <row r="32" spans="1:12" customHeight="1" ht="105" outlineLevel="4">
      <c r="A32" s="1"/>
      <c r="B32" s="1">
        <v>929712</v>
      </c>
      <c r="C32" s="1" t="s">
        <v>92</v>
      </c>
      <c r="D32" s="1"/>
      <c r="E32" s="2" t="s">
        <v>93</v>
      </c>
      <c r="F32" s="2" t="s">
        <v>61</v>
      </c>
      <c r="G32" s="2" t="s">
        <v>58</v>
      </c>
      <c r="H32" s="2">
        <v>0</v>
      </c>
      <c r="I32" s="1">
        <v>0</v>
      </c>
      <c r="J32" s="3" t="s">
        <v>16</v>
      </c>
      <c r="K32" s="2" t="str">
        <f>J32*113.13</f>
        <v>0</v>
      </c>
      <c r="L32" s="5"/>
    </row>
    <row r="33" spans="1:12" customHeight="1" ht="105" outlineLevel="4">
      <c r="A33" s="1"/>
      <c r="B33" s="1">
        <v>929713</v>
      </c>
      <c r="C33" s="1" t="s">
        <v>94</v>
      </c>
      <c r="D33" s="1"/>
      <c r="E33" s="2" t="s">
        <v>95</v>
      </c>
      <c r="F33" s="2" t="s">
        <v>64</v>
      </c>
      <c r="G33" s="2" t="s">
        <v>74</v>
      </c>
      <c r="H33" s="2">
        <v>0</v>
      </c>
      <c r="I33" s="1">
        <v>0</v>
      </c>
      <c r="J33" s="3" t="s">
        <v>16</v>
      </c>
      <c r="K33" s="2" t="str">
        <f>J33*189.00</f>
        <v>0</v>
      </c>
      <c r="L33" s="5"/>
    </row>
    <row r="34" spans="1:12" customHeight="1" ht="105" outlineLevel="4">
      <c r="A34" s="1"/>
      <c r="B34" s="1">
        <v>929714</v>
      </c>
      <c r="C34" s="1" t="s">
        <v>96</v>
      </c>
      <c r="D34" s="1"/>
      <c r="E34" s="2" t="s">
        <v>97</v>
      </c>
      <c r="F34" s="2" t="s">
        <v>67</v>
      </c>
      <c r="G34" s="2">
        <v>0</v>
      </c>
      <c r="H34" s="2">
        <v>0</v>
      </c>
      <c r="I34" s="1">
        <v>0</v>
      </c>
      <c r="J34" s="3" t="s">
        <v>16</v>
      </c>
      <c r="K34" s="2" t="str">
        <f>J34*292.42</f>
        <v>0</v>
      </c>
      <c r="L34" s="5"/>
    </row>
    <row r="35" spans="1:12" customHeight="1" ht="105" outlineLevel="4">
      <c r="A35" s="1"/>
      <c r="B35" s="1">
        <v>929715</v>
      </c>
      <c r="C35" s="1" t="s">
        <v>98</v>
      </c>
      <c r="D35" s="1"/>
      <c r="E35" s="2" t="s">
        <v>99</v>
      </c>
      <c r="F35" s="2" t="s">
        <v>100</v>
      </c>
      <c r="G35" s="2" t="s">
        <v>58</v>
      </c>
      <c r="H35" s="2">
        <v>0</v>
      </c>
      <c r="I35" s="1">
        <v>0</v>
      </c>
      <c r="J35" s="3" t="s">
        <v>16</v>
      </c>
      <c r="K35" s="2" t="str">
        <f>J35*110.92</f>
        <v>0</v>
      </c>
      <c r="L35" s="5"/>
    </row>
    <row r="36" spans="1:12" customHeight="1" ht="105" outlineLevel="4">
      <c r="A36" s="1"/>
      <c r="B36" s="1">
        <v>929716</v>
      </c>
      <c r="C36" s="1" t="s">
        <v>101</v>
      </c>
      <c r="D36" s="1"/>
      <c r="E36" s="2" t="s">
        <v>102</v>
      </c>
      <c r="F36" s="2" t="s">
        <v>103</v>
      </c>
      <c r="G36" s="2" t="s">
        <v>58</v>
      </c>
      <c r="H36" s="2">
        <v>0</v>
      </c>
      <c r="I36" s="1">
        <v>0</v>
      </c>
      <c r="J36" s="3" t="s">
        <v>16</v>
      </c>
      <c r="K36" s="2" t="str">
        <f>J36*160.38</f>
        <v>0</v>
      </c>
      <c r="L36" s="5"/>
    </row>
    <row r="37" spans="1:12" customHeight="1" ht="105" outlineLevel="4">
      <c r="A37" s="1"/>
      <c r="B37" s="1">
        <v>929717</v>
      </c>
      <c r="C37" s="1" t="s">
        <v>104</v>
      </c>
      <c r="D37" s="1"/>
      <c r="E37" s="2" t="s">
        <v>105</v>
      </c>
      <c r="F37" s="2" t="s">
        <v>106</v>
      </c>
      <c r="G37" s="2" t="s">
        <v>58</v>
      </c>
      <c r="H37" s="2">
        <v>0</v>
      </c>
      <c r="I37" s="1">
        <v>0</v>
      </c>
      <c r="J37" s="3" t="s">
        <v>16</v>
      </c>
      <c r="K37" s="2" t="str">
        <f>J37*278.00</f>
        <v>0</v>
      </c>
      <c r="L37" s="5"/>
    </row>
    <row r="38" spans="1:12" customHeight="1" ht="105" outlineLevel="4">
      <c r="A38" s="1"/>
      <c r="B38" s="1">
        <v>929718</v>
      </c>
      <c r="C38" s="1" t="s">
        <v>107</v>
      </c>
      <c r="D38" s="1"/>
      <c r="E38" s="2" t="s">
        <v>108</v>
      </c>
      <c r="F38" s="2" t="s">
        <v>109</v>
      </c>
      <c r="G38" s="2">
        <v>0</v>
      </c>
      <c r="H38" s="2">
        <v>0</v>
      </c>
      <c r="I38" s="1">
        <v>0</v>
      </c>
      <c r="J38" s="3" t="s">
        <v>16</v>
      </c>
      <c r="K38" s="2" t="str">
        <f>J38*423.58</f>
        <v>0</v>
      </c>
      <c r="L38" s="5"/>
    </row>
    <row r="39" spans="1:12" customHeight="1" ht="105" outlineLevel="4">
      <c r="A39" s="1"/>
      <c r="B39" s="1">
        <v>929719</v>
      </c>
      <c r="C39" s="1" t="s">
        <v>110</v>
      </c>
      <c r="D39" s="1"/>
      <c r="E39" s="2" t="s">
        <v>111</v>
      </c>
      <c r="F39" s="2" t="s">
        <v>112</v>
      </c>
      <c r="G39" s="2">
        <v>0</v>
      </c>
      <c r="H39" s="2">
        <v>0</v>
      </c>
      <c r="I39" s="1">
        <v>0</v>
      </c>
      <c r="J39" s="3" t="s">
        <v>16</v>
      </c>
      <c r="K39" s="2" t="str">
        <f>J39*678.99</f>
        <v>0</v>
      </c>
      <c r="L39" s="5"/>
    </row>
    <row r="40" spans="1:12" customHeight="1" ht="105" outlineLevel="4">
      <c r="A40" s="1"/>
      <c r="B40" s="1">
        <v>929720</v>
      </c>
      <c r="C40" s="1" t="s">
        <v>113</v>
      </c>
      <c r="D40" s="1"/>
      <c r="E40" s="2" t="s">
        <v>114</v>
      </c>
      <c r="F40" s="2" t="s">
        <v>115</v>
      </c>
      <c r="G40" s="2">
        <v>0</v>
      </c>
      <c r="H40" s="2">
        <v>0</v>
      </c>
      <c r="I40" s="1">
        <v>0</v>
      </c>
      <c r="J40" s="3" t="s">
        <v>16</v>
      </c>
      <c r="K40" s="2" t="str">
        <f>J40*1043.11</f>
        <v>0</v>
      </c>
      <c r="L40" s="5"/>
    </row>
    <row r="41" spans="1:12" customHeight="1" ht="105" outlineLevel="4">
      <c r="A41" s="1"/>
      <c r="B41" s="1">
        <v>929721</v>
      </c>
      <c r="C41" s="1" t="s">
        <v>116</v>
      </c>
      <c r="D41" s="1"/>
      <c r="E41" s="2" t="s">
        <v>117</v>
      </c>
      <c r="F41" s="2" t="s">
        <v>118</v>
      </c>
      <c r="G41" s="2">
        <v>0</v>
      </c>
      <c r="H41" s="2">
        <v>0</v>
      </c>
      <c r="I41" s="1">
        <v>0</v>
      </c>
      <c r="J41" s="3" t="s">
        <v>16</v>
      </c>
      <c r="K41" s="2" t="str">
        <f>J41*2552.78</f>
        <v>0</v>
      </c>
      <c r="L41" s="5"/>
    </row>
    <row r="42" spans="1:12" customHeight="1" ht="105" outlineLevel="4">
      <c r="A42" s="1"/>
      <c r="B42" s="1">
        <v>929722</v>
      </c>
      <c r="C42" s="1" t="s">
        <v>119</v>
      </c>
      <c r="D42" s="1"/>
      <c r="E42" s="2" t="s">
        <v>120</v>
      </c>
      <c r="F42" s="2" t="s">
        <v>121</v>
      </c>
      <c r="G42" s="2">
        <v>0</v>
      </c>
      <c r="H42" s="2">
        <v>0</v>
      </c>
      <c r="I42" s="1">
        <v>0</v>
      </c>
      <c r="J42" s="3" t="s">
        <v>16</v>
      </c>
      <c r="K42" s="2" t="str">
        <f>J42*4494.04</f>
        <v>0</v>
      </c>
      <c r="L42" s="5"/>
    </row>
    <row r="43" spans="1:12" customHeight="1" ht="105" outlineLevel="4">
      <c r="A43" s="1"/>
      <c r="B43" s="1">
        <v>929723</v>
      </c>
      <c r="C43" s="1" t="s">
        <v>122</v>
      </c>
      <c r="D43" s="1"/>
      <c r="E43" s="2" t="s">
        <v>123</v>
      </c>
      <c r="F43" s="2" t="s">
        <v>124</v>
      </c>
      <c r="G43" s="2">
        <v>0</v>
      </c>
      <c r="H43" s="2">
        <v>0</v>
      </c>
      <c r="I43" s="1">
        <v>0</v>
      </c>
      <c r="J43" s="3" t="s">
        <v>16</v>
      </c>
      <c r="K43" s="2" t="str">
        <f>J43*6102.46</f>
        <v>0</v>
      </c>
      <c r="L43" s="5"/>
    </row>
    <row r="44" spans="1:12" customHeight="1" ht="105" outlineLevel="4">
      <c r="A44" s="1"/>
      <c r="B44" s="1">
        <v>929724</v>
      </c>
      <c r="C44" s="1" t="s">
        <v>125</v>
      </c>
      <c r="D44" s="1"/>
      <c r="E44" s="2" t="s">
        <v>126</v>
      </c>
      <c r="F44" s="2" t="s">
        <v>100</v>
      </c>
      <c r="G44" s="2" t="s">
        <v>58</v>
      </c>
      <c r="H44" s="2">
        <v>0</v>
      </c>
      <c r="I44" s="1">
        <v>0</v>
      </c>
      <c r="J44" s="3" t="s">
        <v>16</v>
      </c>
      <c r="K44" s="2" t="str">
        <f>J44*110.92</f>
        <v>0</v>
      </c>
      <c r="L44" s="5"/>
    </row>
    <row r="45" spans="1:12" customHeight="1" ht="105" outlineLevel="4">
      <c r="A45" s="1"/>
      <c r="B45" s="1">
        <v>929725</v>
      </c>
      <c r="C45" s="1" t="s">
        <v>127</v>
      </c>
      <c r="D45" s="1"/>
      <c r="E45" s="2" t="s">
        <v>128</v>
      </c>
      <c r="F45" s="2" t="s">
        <v>103</v>
      </c>
      <c r="G45" s="2" t="s">
        <v>74</v>
      </c>
      <c r="H45" s="2">
        <v>0</v>
      </c>
      <c r="I45" s="1" t="s">
        <v>74</v>
      </c>
      <c r="J45" s="3" t="s">
        <v>16</v>
      </c>
      <c r="K45" s="2" t="str">
        <f>J45*160.38</f>
        <v>0</v>
      </c>
      <c r="L45" s="5"/>
    </row>
    <row r="46" spans="1:12" customHeight="1" ht="105" outlineLevel="4">
      <c r="A46" s="1"/>
      <c r="B46" s="1">
        <v>929726</v>
      </c>
      <c r="C46" s="1" t="s">
        <v>129</v>
      </c>
      <c r="D46" s="1"/>
      <c r="E46" s="2" t="s">
        <v>130</v>
      </c>
      <c r="F46" s="2" t="s">
        <v>106</v>
      </c>
      <c r="G46" s="2" t="s">
        <v>74</v>
      </c>
      <c r="H46" s="2">
        <v>0</v>
      </c>
      <c r="I46" s="1">
        <v>0</v>
      </c>
      <c r="J46" s="3" t="s">
        <v>16</v>
      </c>
      <c r="K46" s="2" t="str">
        <f>J46*278.00</f>
        <v>0</v>
      </c>
      <c r="L46" s="5"/>
    </row>
    <row r="47" spans="1:12" customHeight="1" ht="105" outlineLevel="4">
      <c r="A47" s="1"/>
      <c r="B47" s="1">
        <v>929727</v>
      </c>
      <c r="C47" s="1" t="s">
        <v>131</v>
      </c>
      <c r="D47" s="1"/>
      <c r="E47" s="2" t="s">
        <v>132</v>
      </c>
      <c r="F47" s="2" t="s">
        <v>109</v>
      </c>
      <c r="G47" s="2">
        <v>0</v>
      </c>
      <c r="H47" s="2">
        <v>0</v>
      </c>
      <c r="I47" s="1">
        <v>0</v>
      </c>
      <c r="J47" s="3" t="s">
        <v>16</v>
      </c>
      <c r="K47" s="2" t="str">
        <f>J47*423.58</f>
        <v>0</v>
      </c>
      <c r="L47" s="5"/>
    </row>
    <row r="48" spans="1:12" customHeight="1" ht="105" outlineLevel="4">
      <c r="A48" s="1"/>
      <c r="B48" s="1">
        <v>929728</v>
      </c>
      <c r="C48" s="1" t="s">
        <v>133</v>
      </c>
      <c r="D48" s="1"/>
      <c r="E48" s="2" t="s">
        <v>134</v>
      </c>
      <c r="F48" s="2" t="s">
        <v>135</v>
      </c>
      <c r="G48" s="2" t="s">
        <v>136</v>
      </c>
      <c r="H48" s="2">
        <v>0</v>
      </c>
      <c r="I48" s="1">
        <v>0</v>
      </c>
      <c r="J48" s="3" t="s">
        <v>16</v>
      </c>
      <c r="K48" s="2" t="str">
        <f>J48*79.20</f>
        <v>0</v>
      </c>
      <c r="L48" s="5"/>
    </row>
    <row r="49" spans="1:12" customHeight="1" ht="105" outlineLevel="4">
      <c r="A49" s="1"/>
      <c r="B49" s="1">
        <v>929729</v>
      </c>
      <c r="C49" s="1" t="s">
        <v>137</v>
      </c>
      <c r="D49" s="1"/>
      <c r="E49" s="2" t="s">
        <v>138</v>
      </c>
      <c r="F49" s="2" t="s">
        <v>139</v>
      </c>
      <c r="G49" s="2" t="s">
        <v>58</v>
      </c>
      <c r="H49" s="2">
        <v>0</v>
      </c>
      <c r="I49" s="1" t="s">
        <v>74</v>
      </c>
      <c r="J49" s="3" t="s">
        <v>16</v>
      </c>
      <c r="K49" s="2" t="str">
        <f>J49*118.80</f>
        <v>0</v>
      </c>
      <c r="L49" s="5"/>
    </row>
    <row r="50" spans="1:12" customHeight="1" ht="105" outlineLevel="4">
      <c r="A50" s="1"/>
      <c r="B50" s="1">
        <v>929730</v>
      </c>
      <c r="C50" s="1" t="s">
        <v>140</v>
      </c>
      <c r="D50" s="1"/>
      <c r="E50" s="2" t="s">
        <v>141</v>
      </c>
      <c r="F50" s="2" t="s">
        <v>142</v>
      </c>
      <c r="G50" s="2" t="s">
        <v>58</v>
      </c>
      <c r="H50" s="2">
        <v>0</v>
      </c>
      <c r="I50" s="1">
        <v>0</v>
      </c>
      <c r="J50" s="3" t="s">
        <v>16</v>
      </c>
      <c r="K50" s="2" t="str">
        <f>J50*199.80</f>
        <v>0</v>
      </c>
      <c r="L50" s="5"/>
    </row>
    <row r="51" spans="1:12" customHeight="1" ht="105" outlineLevel="4">
      <c r="A51" s="1"/>
      <c r="B51" s="1">
        <v>929731</v>
      </c>
      <c r="C51" s="1" t="s">
        <v>143</v>
      </c>
      <c r="D51" s="1"/>
      <c r="E51" s="2" t="s">
        <v>144</v>
      </c>
      <c r="F51" s="2" t="s">
        <v>145</v>
      </c>
      <c r="G51" s="2" t="s">
        <v>58</v>
      </c>
      <c r="H51" s="2">
        <v>0</v>
      </c>
      <c r="I51" s="1">
        <v>0</v>
      </c>
      <c r="J51" s="3" t="s">
        <v>16</v>
      </c>
      <c r="K51" s="2" t="str">
        <f>J51*307.80</f>
        <v>0</v>
      </c>
      <c r="L51" s="5"/>
    </row>
    <row r="52" spans="1:12" customHeight="1" ht="105" outlineLevel="4">
      <c r="A52" s="1"/>
      <c r="B52" s="1">
        <v>929732</v>
      </c>
      <c r="C52" s="1" t="s">
        <v>146</v>
      </c>
      <c r="D52" s="1"/>
      <c r="E52" s="2" t="s">
        <v>147</v>
      </c>
      <c r="F52" s="2" t="s">
        <v>148</v>
      </c>
      <c r="G52" s="2" t="s">
        <v>58</v>
      </c>
      <c r="H52" s="2">
        <v>0</v>
      </c>
      <c r="I52" s="1">
        <v>0</v>
      </c>
      <c r="J52" s="3" t="s">
        <v>16</v>
      </c>
      <c r="K52" s="2" t="str">
        <f>J52*507.09</f>
        <v>0</v>
      </c>
      <c r="L52" s="5"/>
    </row>
    <row r="53" spans="1:12" customHeight="1" ht="105" outlineLevel="4">
      <c r="A53" s="1"/>
      <c r="B53" s="1">
        <v>929733</v>
      </c>
      <c r="C53" s="1" t="s">
        <v>149</v>
      </c>
      <c r="D53" s="1"/>
      <c r="E53" s="2" t="s">
        <v>150</v>
      </c>
      <c r="F53" s="2" t="s">
        <v>151</v>
      </c>
      <c r="G53" s="2" t="s">
        <v>152</v>
      </c>
      <c r="H53" s="2">
        <v>0</v>
      </c>
      <c r="I53" s="1" t="s">
        <v>153</v>
      </c>
      <c r="J53" s="3" t="s">
        <v>16</v>
      </c>
      <c r="K53" s="2" t="str">
        <f>J53*802.99</f>
        <v>0</v>
      </c>
      <c r="L53" s="5"/>
    </row>
    <row r="54" spans="1:12" customHeight="1" ht="105" outlineLevel="4">
      <c r="A54" s="1"/>
      <c r="B54" s="1">
        <v>929734</v>
      </c>
      <c r="C54" s="1" t="s">
        <v>154</v>
      </c>
      <c r="D54" s="1"/>
      <c r="E54" s="2" t="s">
        <v>155</v>
      </c>
      <c r="F54" s="2" t="s">
        <v>156</v>
      </c>
      <c r="G54" s="2">
        <v>0</v>
      </c>
      <c r="H54" s="2">
        <v>0</v>
      </c>
      <c r="I54" s="1">
        <v>0</v>
      </c>
      <c r="J54" s="3" t="s">
        <v>16</v>
      </c>
      <c r="K54" s="2" t="str">
        <f>J54*1137.13</f>
        <v>0</v>
      </c>
      <c r="L54" s="5"/>
    </row>
    <row r="55" spans="1:12" customHeight="1" ht="105" outlineLevel="4">
      <c r="A55" s="1"/>
      <c r="B55" s="1">
        <v>929735</v>
      </c>
      <c r="C55" s="1" t="s">
        <v>157</v>
      </c>
      <c r="D55" s="1"/>
      <c r="E55" s="2" t="s">
        <v>158</v>
      </c>
      <c r="F55" s="2" t="s">
        <v>159</v>
      </c>
      <c r="G55" s="2">
        <v>0</v>
      </c>
      <c r="H55" s="2">
        <v>0</v>
      </c>
      <c r="I55" s="1">
        <v>0</v>
      </c>
      <c r="J55" s="3" t="s">
        <v>16</v>
      </c>
      <c r="K55" s="2" t="str">
        <f>J55*1597.31</f>
        <v>0</v>
      </c>
      <c r="L55" s="5"/>
    </row>
    <row r="56" spans="1:12" customHeight="1" ht="105" outlineLevel="4">
      <c r="A56" s="1"/>
      <c r="B56" s="1">
        <v>929736</v>
      </c>
      <c r="C56" s="1" t="s">
        <v>160</v>
      </c>
      <c r="D56" s="1"/>
      <c r="E56" s="2" t="s">
        <v>161</v>
      </c>
      <c r="F56" s="2" t="s">
        <v>162</v>
      </c>
      <c r="G56" s="2">
        <v>0</v>
      </c>
      <c r="H56" s="2">
        <v>0</v>
      </c>
      <c r="I56" s="1">
        <v>0</v>
      </c>
      <c r="J56" s="3" t="s">
        <v>16</v>
      </c>
      <c r="K56" s="2" t="str">
        <f>J56*2430.35</f>
        <v>0</v>
      </c>
      <c r="L56" s="5"/>
    </row>
    <row r="57" spans="1:12" customHeight="1" ht="105" outlineLevel="4">
      <c r="A57" s="1"/>
      <c r="B57" s="1">
        <v>929737</v>
      </c>
      <c r="C57" s="1" t="s">
        <v>163</v>
      </c>
      <c r="D57" s="1"/>
      <c r="E57" s="2" t="s">
        <v>164</v>
      </c>
      <c r="F57" s="2" t="s">
        <v>165</v>
      </c>
      <c r="G57" s="2">
        <v>0</v>
      </c>
      <c r="H57" s="2">
        <v>0</v>
      </c>
      <c r="I57" s="1">
        <v>0</v>
      </c>
      <c r="J57" s="3" t="s">
        <v>16</v>
      </c>
      <c r="K57" s="2" t="str">
        <f>J57*3707.57</f>
        <v>0</v>
      </c>
      <c r="L57" s="5"/>
    </row>
    <row r="58" spans="1:12" customHeight="1" ht="105" outlineLevel="4">
      <c r="A58" s="1"/>
      <c r="B58" s="1">
        <v>929738</v>
      </c>
      <c r="C58" s="1" t="s">
        <v>166</v>
      </c>
      <c r="D58" s="1"/>
      <c r="E58" s="2" t="s">
        <v>167</v>
      </c>
      <c r="F58" s="2" t="s">
        <v>168</v>
      </c>
      <c r="G58" s="2">
        <v>0</v>
      </c>
      <c r="H58" s="2">
        <v>0</v>
      </c>
      <c r="I58" s="1">
        <v>0</v>
      </c>
      <c r="J58" s="3" t="s">
        <v>16</v>
      </c>
      <c r="K58" s="2" t="str">
        <f>J58*6037.03</f>
        <v>0</v>
      </c>
      <c r="L58" s="5"/>
    </row>
    <row r="59" spans="1:12" customHeight="1" ht="105" outlineLevel="4">
      <c r="A59" s="1"/>
      <c r="B59" s="1">
        <v>929739</v>
      </c>
      <c r="C59" s="1" t="s">
        <v>169</v>
      </c>
      <c r="D59" s="1"/>
      <c r="E59" s="2" t="s">
        <v>170</v>
      </c>
      <c r="F59" s="2" t="s">
        <v>135</v>
      </c>
      <c r="G59" s="2" t="s">
        <v>58</v>
      </c>
      <c r="H59" s="2">
        <v>0</v>
      </c>
      <c r="I59" s="1">
        <v>0</v>
      </c>
      <c r="J59" s="3" t="s">
        <v>16</v>
      </c>
      <c r="K59" s="2" t="str">
        <f>J59*79.20</f>
        <v>0</v>
      </c>
      <c r="L59" s="5"/>
    </row>
    <row r="60" spans="1:12" customHeight="1" ht="105" outlineLevel="4">
      <c r="A60" s="1"/>
      <c r="B60" s="1">
        <v>929740</v>
      </c>
      <c r="C60" s="1" t="s">
        <v>171</v>
      </c>
      <c r="D60" s="1"/>
      <c r="E60" s="2" t="s">
        <v>172</v>
      </c>
      <c r="F60" s="2" t="s">
        <v>139</v>
      </c>
      <c r="G60" s="2" t="s">
        <v>136</v>
      </c>
      <c r="H60" s="2">
        <v>0</v>
      </c>
      <c r="I60" s="1">
        <v>0</v>
      </c>
      <c r="J60" s="3" t="s">
        <v>16</v>
      </c>
      <c r="K60" s="2" t="str">
        <f>J60*118.80</f>
        <v>0</v>
      </c>
      <c r="L60" s="5"/>
    </row>
    <row r="61" spans="1:12" customHeight="1" ht="105" outlineLevel="4">
      <c r="A61" s="1"/>
      <c r="B61" s="1">
        <v>929741</v>
      </c>
      <c r="C61" s="1" t="s">
        <v>173</v>
      </c>
      <c r="D61" s="1"/>
      <c r="E61" s="2" t="s">
        <v>174</v>
      </c>
      <c r="F61" s="2" t="s">
        <v>142</v>
      </c>
      <c r="G61" s="2" t="s">
        <v>58</v>
      </c>
      <c r="H61" s="2">
        <v>0</v>
      </c>
      <c r="I61" s="1">
        <v>0</v>
      </c>
      <c r="J61" s="3" t="s">
        <v>16</v>
      </c>
      <c r="K61" s="2" t="str">
        <f>J61*199.80</f>
        <v>0</v>
      </c>
      <c r="L61" s="5"/>
    </row>
    <row r="62" spans="1:12" customHeight="1" ht="105" outlineLevel="4">
      <c r="A62" s="1"/>
      <c r="B62" s="1">
        <v>929742</v>
      </c>
      <c r="C62" s="1" t="s">
        <v>175</v>
      </c>
      <c r="D62" s="1"/>
      <c r="E62" s="2" t="s">
        <v>176</v>
      </c>
      <c r="F62" s="2" t="s">
        <v>145</v>
      </c>
      <c r="G62" s="2">
        <v>0</v>
      </c>
      <c r="H62" s="2">
        <v>0</v>
      </c>
      <c r="I62" s="1">
        <v>0</v>
      </c>
      <c r="J62" s="3" t="s">
        <v>16</v>
      </c>
      <c r="K62" s="2" t="str">
        <f>J62*307.80</f>
        <v>0</v>
      </c>
      <c r="L62" s="5"/>
    </row>
    <row r="63" spans="1:12" customHeight="1" ht="105" outlineLevel="4">
      <c r="A63" s="1"/>
      <c r="B63" s="1">
        <v>929743</v>
      </c>
      <c r="C63" s="1" t="s">
        <v>177</v>
      </c>
      <c r="D63" s="1"/>
      <c r="E63" s="2" t="s">
        <v>178</v>
      </c>
      <c r="F63" s="2" t="s">
        <v>179</v>
      </c>
      <c r="G63" s="2" t="s">
        <v>180</v>
      </c>
      <c r="H63" s="2">
        <v>0</v>
      </c>
      <c r="I63" s="1">
        <v>0</v>
      </c>
      <c r="J63" s="3" t="s">
        <v>16</v>
      </c>
      <c r="K63" s="2" t="str">
        <f>J63*70.56</f>
        <v>0</v>
      </c>
      <c r="L63" s="5"/>
    </row>
    <row r="64" spans="1:12" customHeight="1" ht="105" outlineLevel="4">
      <c r="A64" s="1"/>
      <c r="B64" s="1">
        <v>929744</v>
      </c>
      <c r="C64" s="1" t="s">
        <v>181</v>
      </c>
      <c r="D64" s="1"/>
      <c r="E64" s="2" t="s">
        <v>182</v>
      </c>
      <c r="F64" s="2" t="s">
        <v>183</v>
      </c>
      <c r="G64" s="2" t="s">
        <v>136</v>
      </c>
      <c r="H64" s="2">
        <v>0</v>
      </c>
      <c r="I64" s="1" t="s">
        <v>74</v>
      </c>
      <c r="J64" s="3" t="s">
        <v>16</v>
      </c>
      <c r="K64" s="2" t="str">
        <f>J64*106.20</f>
        <v>0</v>
      </c>
      <c r="L64" s="5"/>
    </row>
    <row r="65" spans="1:12" customHeight="1" ht="105" outlineLevel="4">
      <c r="A65" s="1"/>
      <c r="B65" s="1">
        <v>929745</v>
      </c>
      <c r="C65" s="1" t="s">
        <v>184</v>
      </c>
      <c r="D65" s="1"/>
      <c r="E65" s="2" t="s">
        <v>185</v>
      </c>
      <c r="F65" s="2" t="s">
        <v>186</v>
      </c>
      <c r="G65" s="2" t="s">
        <v>58</v>
      </c>
      <c r="H65" s="2">
        <v>0</v>
      </c>
      <c r="I65" s="1" t="s">
        <v>74</v>
      </c>
      <c r="J65" s="3" t="s">
        <v>16</v>
      </c>
      <c r="K65" s="2" t="str">
        <f>J65*167.40</f>
        <v>0</v>
      </c>
      <c r="L65" s="5"/>
    </row>
    <row r="66" spans="1:12" customHeight="1" ht="105" outlineLevel="4">
      <c r="A66" s="1"/>
      <c r="B66" s="1">
        <v>929746</v>
      </c>
      <c r="C66" s="1" t="s">
        <v>187</v>
      </c>
      <c r="D66" s="1"/>
      <c r="E66" s="2" t="s">
        <v>188</v>
      </c>
      <c r="F66" s="2" t="s">
        <v>189</v>
      </c>
      <c r="G66" s="2" t="s">
        <v>74</v>
      </c>
      <c r="H66" s="2">
        <v>0</v>
      </c>
      <c r="I66" s="1">
        <v>0</v>
      </c>
      <c r="J66" s="3" t="s">
        <v>16</v>
      </c>
      <c r="K66" s="2" t="str">
        <f>J66*266.40</f>
        <v>0</v>
      </c>
      <c r="L66" s="5"/>
    </row>
    <row r="67" spans="1:12" customHeight="1" ht="105" outlineLevel="4">
      <c r="A67" s="1"/>
      <c r="B67" s="1">
        <v>929747</v>
      </c>
      <c r="C67" s="1" t="s">
        <v>190</v>
      </c>
      <c r="D67" s="1"/>
      <c r="E67" s="2" t="s">
        <v>191</v>
      </c>
      <c r="F67" s="2" t="s">
        <v>192</v>
      </c>
      <c r="G67" s="2" t="s">
        <v>74</v>
      </c>
      <c r="H67" s="2">
        <v>0</v>
      </c>
      <c r="I67" s="1">
        <v>0</v>
      </c>
      <c r="J67" s="3" t="s">
        <v>16</v>
      </c>
      <c r="K67" s="2" t="str">
        <f>J67*444.60</f>
        <v>0</v>
      </c>
      <c r="L67" s="5"/>
    </row>
    <row r="68" spans="1:12" customHeight="1" ht="105" outlineLevel="4">
      <c r="A68" s="1"/>
      <c r="B68" s="1">
        <v>929748</v>
      </c>
      <c r="C68" s="1" t="s">
        <v>193</v>
      </c>
      <c r="D68" s="1"/>
      <c r="E68" s="2" t="s">
        <v>194</v>
      </c>
      <c r="F68" s="2" t="s">
        <v>195</v>
      </c>
      <c r="G68" s="2" t="s">
        <v>74</v>
      </c>
      <c r="H68" s="2">
        <v>0</v>
      </c>
      <c r="I68" s="1">
        <v>0</v>
      </c>
      <c r="J68" s="3" t="s">
        <v>16</v>
      </c>
      <c r="K68" s="2" t="str">
        <f>J68*686.72</f>
        <v>0</v>
      </c>
      <c r="L68" s="5"/>
    </row>
    <row r="69" spans="1:12" customHeight="1" ht="105" outlineLevel="4">
      <c r="A69" s="1"/>
      <c r="B69" s="1">
        <v>929749</v>
      </c>
      <c r="C69" s="1" t="s">
        <v>196</v>
      </c>
      <c r="D69" s="1"/>
      <c r="E69" s="2" t="s">
        <v>197</v>
      </c>
      <c r="F69" s="2" t="s">
        <v>198</v>
      </c>
      <c r="G69" s="2">
        <v>0</v>
      </c>
      <c r="H69" s="2">
        <v>0</v>
      </c>
      <c r="I69" s="1">
        <v>0</v>
      </c>
      <c r="J69" s="3" t="s">
        <v>16</v>
      </c>
      <c r="K69" s="2" t="str">
        <f>J69*949.50</f>
        <v>0</v>
      </c>
      <c r="L69" s="5"/>
    </row>
    <row r="70" spans="1:12" customHeight="1" ht="105" outlineLevel="4">
      <c r="A70" s="1"/>
      <c r="B70" s="1">
        <v>929750</v>
      </c>
      <c r="C70" s="1" t="s">
        <v>199</v>
      </c>
      <c r="D70" s="1"/>
      <c r="E70" s="2" t="s">
        <v>200</v>
      </c>
      <c r="F70" s="2" t="s">
        <v>201</v>
      </c>
      <c r="G70" s="2">
        <v>0</v>
      </c>
      <c r="H70" s="2">
        <v>0</v>
      </c>
      <c r="I70" s="1">
        <v>0</v>
      </c>
      <c r="J70" s="3" t="s">
        <v>16</v>
      </c>
      <c r="K70" s="2" t="str">
        <f>J70*1424.31</f>
        <v>0</v>
      </c>
      <c r="L70" s="5"/>
    </row>
    <row r="71" spans="1:12" customHeight="1" ht="105" outlineLevel="4">
      <c r="A71" s="1"/>
      <c r="B71" s="1">
        <v>929751</v>
      </c>
      <c r="C71" s="1" t="s">
        <v>202</v>
      </c>
      <c r="D71" s="1"/>
      <c r="E71" s="2" t="s">
        <v>203</v>
      </c>
      <c r="F71" s="2" t="s">
        <v>204</v>
      </c>
      <c r="G71" s="2">
        <v>0</v>
      </c>
      <c r="H71" s="2">
        <v>0</v>
      </c>
      <c r="I71" s="1">
        <v>0</v>
      </c>
      <c r="J71" s="3" t="s">
        <v>16</v>
      </c>
      <c r="K71" s="2" t="str">
        <f>J71*2116.91</f>
        <v>0</v>
      </c>
      <c r="L71" s="5"/>
    </row>
    <row r="72" spans="1:12" customHeight="1" ht="105" outlineLevel="4">
      <c r="A72" s="1"/>
      <c r="B72" s="1">
        <v>929752</v>
      </c>
      <c r="C72" s="1" t="s">
        <v>205</v>
      </c>
      <c r="D72" s="1"/>
      <c r="E72" s="2" t="s">
        <v>206</v>
      </c>
      <c r="F72" s="2" t="s">
        <v>179</v>
      </c>
      <c r="G72" s="2" t="s">
        <v>136</v>
      </c>
      <c r="H72" s="2">
        <v>0</v>
      </c>
      <c r="I72" s="1">
        <v>0</v>
      </c>
      <c r="J72" s="3" t="s">
        <v>16</v>
      </c>
      <c r="K72" s="2" t="str">
        <f>J72*70.56</f>
        <v>0</v>
      </c>
      <c r="L72" s="5"/>
    </row>
    <row r="73" spans="1:12" customHeight="1" ht="105" outlineLevel="4">
      <c r="A73" s="1"/>
      <c r="B73" s="1">
        <v>929753</v>
      </c>
      <c r="C73" s="1" t="s">
        <v>207</v>
      </c>
      <c r="D73" s="1"/>
      <c r="E73" s="2" t="s">
        <v>208</v>
      </c>
      <c r="F73" s="2" t="s">
        <v>183</v>
      </c>
      <c r="G73" s="2" t="s">
        <v>136</v>
      </c>
      <c r="H73" s="2">
        <v>0</v>
      </c>
      <c r="I73" s="1">
        <v>0</v>
      </c>
      <c r="J73" s="3" t="s">
        <v>16</v>
      </c>
      <c r="K73" s="2" t="str">
        <f>J73*106.20</f>
        <v>0</v>
      </c>
      <c r="L73" s="5"/>
    </row>
    <row r="74" spans="1:12" customHeight="1" ht="105" outlineLevel="4">
      <c r="A74" s="1"/>
      <c r="B74" s="1">
        <v>929754</v>
      </c>
      <c r="C74" s="1" t="s">
        <v>209</v>
      </c>
      <c r="D74" s="1"/>
      <c r="E74" s="2" t="s">
        <v>210</v>
      </c>
      <c r="F74" s="2" t="s">
        <v>186</v>
      </c>
      <c r="G74" s="2" t="s">
        <v>58</v>
      </c>
      <c r="H74" s="2">
        <v>0</v>
      </c>
      <c r="I74" s="1">
        <v>0</v>
      </c>
      <c r="J74" s="3" t="s">
        <v>16</v>
      </c>
      <c r="K74" s="2" t="str">
        <f>J74*167.40</f>
        <v>0</v>
      </c>
      <c r="L74" s="5"/>
    </row>
    <row r="75" spans="1:12" customHeight="1" ht="105" outlineLevel="4">
      <c r="A75" s="1"/>
      <c r="B75" s="1">
        <v>929755</v>
      </c>
      <c r="C75" s="1" t="s">
        <v>211</v>
      </c>
      <c r="D75" s="1"/>
      <c r="E75" s="2" t="s">
        <v>212</v>
      </c>
      <c r="F75" s="2" t="s">
        <v>189</v>
      </c>
      <c r="G75" s="2">
        <v>0</v>
      </c>
      <c r="H75" s="2">
        <v>0</v>
      </c>
      <c r="I75" s="1">
        <v>0</v>
      </c>
      <c r="J75" s="3" t="s">
        <v>16</v>
      </c>
      <c r="K75" s="2" t="str">
        <f>J75*266.40</f>
        <v>0</v>
      </c>
      <c r="L75" s="5"/>
    </row>
    <row r="76" spans="1:12" outlineLevel="2">
      <c r="A76" s="8" t="s">
        <v>213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5"/>
    </row>
    <row r="77" spans="1:12" customHeight="1" ht="105" outlineLevel="4">
      <c r="A77" s="1"/>
      <c r="B77" s="1">
        <v>903099</v>
      </c>
      <c r="C77" s="1" t="s">
        <v>214</v>
      </c>
      <c r="D77" s="1" t="s">
        <v>215</v>
      </c>
      <c r="E77" s="2" t="s">
        <v>216</v>
      </c>
      <c r="F77" s="2" t="s">
        <v>217</v>
      </c>
      <c r="G77" s="2" t="s">
        <v>58</v>
      </c>
      <c r="H77" s="2" t="s">
        <v>180</v>
      </c>
      <c r="I77" s="1">
        <v>0</v>
      </c>
      <c r="J77" s="3" t="s">
        <v>16</v>
      </c>
      <c r="K77" s="2" t="str">
        <f>J77*117.00</f>
        <v>0</v>
      </c>
      <c r="L77" s="5"/>
    </row>
    <row r="78" spans="1:12" customHeight="1" ht="105" outlineLevel="4">
      <c r="A78" s="1"/>
      <c r="B78" s="1">
        <v>903100</v>
      </c>
      <c r="C78" s="1" t="s">
        <v>218</v>
      </c>
      <c r="D78" s="1" t="s">
        <v>219</v>
      </c>
      <c r="E78" s="2" t="s">
        <v>220</v>
      </c>
      <c r="F78" s="2" t="s">
        <v>221</v>
      </c>
      <c r="G78" s="2" t="s">
        <v>58</v>
      </c>
      <c r="H78" s="2" t="s">
        <v>222</v>
      </c>
      <c r="I78" s="1">
        <v>0</v>
      </c>
      <c r="J78" s="3" t="s">
        <v>16</v>
      </c>
      <c r="K78" s="2" t="str">
        <f>J78*182.00</f>
        <v>0</v>
      </c>
      <c r="L78" s="5"/>
    </row>
    <row r="79" spans="1:12" customHeight="1" ht="105" outlineLevel="4">
      <c r="A79" s="1"/>
      <c r="B79" s="1">
        <v>903101</v>
      </c>
      <c r="C79" s="1" t="s">
        <v>223</v>
      </c>
      <c r="D79" s="1" t="s">
        <v>224</v>
      </c>
      <c r="E79" s="2" t="s">
        <v>225</v>
      </c>
      <c r="F79" s="2" t="s">
        <v>226</v>
      </c>
      <c r="G79" s="2" t="s">
        <v>58</v>
      </c>
      <c r="H79" s="2" t="s">
        <v>180</v>
      </c>
      <c r="I79" s="1">
        <v>0</v>
      </c>
      <c r="J79" s="3" t="s">
        <v>16</v>
      </c>
      <c r="K79" s="2" t="str">
        <f>J79*298.00</f>
        <v>0</v>
      </c>
      <c r="L79" s="5"/>
    </row>
    <row r="80" spans="1:12" customHeight="1" ht="105" outlineLevel="4">
      <c r="A80" s="1"/>
      <c r="B80" s="1">
        <v>903102</v>
      </c>
      <c r="C80" s="1" t="s">
        <v>227</v>
      </c>
      <c r="D80" s="1" t="s">
        <v>228</v>
      </c>
      <c r="E80" s="2" t="s">
        <v>229</v>
      </c>
      <c r="F80" s="2" t="s">
        <v>230</v>
      </c>
      <c r="G80" s="2">
        <v>0</v>
      </c>
      <c r="H80" s="2" t="s">
        <v>180</v>
      </c>
      <c r="I80" s="1">
        <v>0</v>
      </c>
      <c r="J80" s="3" t="s">
        <v>16</v>
      </c>
      <c r="K80" s="2" t="str">
        <f>J80*452.00</f>
        <v>0</v>
      </c>
      <c r="L80" s="5"/>
    </row>
    <row r="81" spans="1:12" customHeight="1" ht="105" outlineLevel="4">
      <c r="A81" s="1"/>
      <c r="B81" s="1">
        <v>903103</v>
      </c>
      <c r="C81" s="1" t="s">
        <v>231</v>
      </c>
      <c r="D81" s="1" t="s">
        <v>232</v>
      </c>
      <c r="E81" s="2" t="s">
        <v>233</v>
      </c>
      <c r="F81" s="2" t="s">
        <v>234</v>
      </c>
      <c r="G81" s="2">
        <v>0</v>
      </c>
      <c r="H81" s="2" t="s">
        <v>58</v>
      </c>
      <c r="I81" s="1">
        <v>0</v>
      </c>
      <c r="J81" s="3" t="s">
        <v>16</v>
      </c>
      <c r="K81" s="2" t="str">
        <f>J81*774.00</f>
        <v>0</v>
      </c>
      <c r="L81" s="5"/>
    </row>
    <row r="82" spans="1:12" customHeight="1" ht="105" outlineLevel="4">
      <c r="A82" s="1"/>
      <c r="B82" s="1">
        <v>903104</v>
      </c>
      <c r="C82" s="1" t="s">
        <v>235</v>
      </c>
      <c r="D82" s="1" t="s">
        <v>236</v>
      </c>
      <c r="E82" s="2" t="s">
        <v>237</v>
      </c>
      <c r="F82" s="2" t="s">
        <v>238</v>
      </c>
      <c r="G82" s="2">
        <v>0</v>
      </c>
      <c r="H82" s="2" t="s">
        <v>58</v>
      </c>
      <c r="I82" s="1">
        <v>0</v>
      </c>
      <c r="J82" s="3" t="s">
        <v>16</v>
      </c>
      <c r="K82" s="2" t="str">
        <f>J82*1245.00</f>
        <v>0</v>
      </c>
      <c r="L82" s="5"/>
    </row>
    <row r="83" spans="1:12" customHeight="1" ht="105" outlineLevel="4">
      <c r="A83" s="1"/>
      <c r="B83" s="1">
        <v>903105</v>
      </c>
      <c r="C83" s="1" t="s">
        <v>239</v>
      </c>
      <c r="D83" s="1" t="s">
        <v>240</v>
      </c>
      <c r="E83" s="2" t="s">
        <v>241</v>
      </c>
      <c r="F83" s="2" t="s">
        <v>242</v>
      </c>
      <c r="G83" s="2">
        <v>0</v>
      </c>
      <c r="H83" s="2" t="s">
        <v>58</v>
      </c>
      <c r="I83" s="1">
        <v>0</v>
      </c>
      <c r="J83" s="3" t="s">
        <v>16</v>
      </c>
      <c r="K83" s="2" t="str">
        <f>J83*1990.00</f>
        <v>0</v>
      </c>
      <c r="L83" s="5"/>
    </row>
    <row r="84" spans="1:12" customHeight="1" ht="105" outlineLevel="4">
      <c r="A84" s="1"/>
      <c r="B84" s="1">
        <v>903106</v>
      </c>
      <c r="C84" s="1" t="s">
        <v>243</v>
      </c>
      <c r="D84" s="1" t="s">
        <v>244</v>
      </c>
      <c r="E84" s="2" t="s">
        <v>245</v>
      </c>
      <c r="F84" s="2" t="s">
        <v>246</v>
      </c>
      <c r="G84" s="2">
        <v>0</v>
      </c>
      <c r="H84" s="2" t="s">
        <v>74</v>
      </c>
      <c r="I84" s="1">
        <v>0</v>
      </c>
      <c r="J84" s="3" t="s">
        <v>16</v>
      </c>
      <c r="K84" s="2" t="str">
        <f>J84*3028.00</f>
        <v>0</v>
      </c>
      <c r="L84" s="5"/>
    </row>
    <row r="85" spans="1:12" customHeight="1" ht="105" outlineLevel="4">
      <c r="A85" s="1"/>
      <c r="B85" s="1">
        <v>903107</v>
      </c>
      <c r="C85" s="1" t="s">
        <v>247</v>
      </c>
      <c r="D85" s="1" t="s">
        <v>248</v>
      </c>
      <c r="E85" s="2" t="s">
        <v>249</v>
      </c>
      <c r="F85" s="2" t="s">
        <v>250</v>
      </c>
      <c r="G85" s="2" t="s">
        <v>136</v>
      </c>
      <c r="H85" s="2" t="s">
        <v>222</v>
      </c>
      <c r="I85" s="1">
        <v>0</v>
      </c>
      <c r="J85" s="3" t="s">
        <v>16</v>
      </c>
      <c r="K85" s="2" t="str">
        <f>J85*181.00</f>
        <v>0</v>
      </c>
      <c r="L85" s="5"/>
    </row>
    <row r="86" spans="1:12" customHeight="1" ht="105" outlineLevel="4">
      <c r="A86" s="1"/>
      <c r="B86" s="1">
        <v>903108</v>
      </c>
      <c r="C86" s="1" t="s">
        <v>251</v>
      </c>
      <c r="D86" s="1" t="s">
        <v>252</v>
      </c>
      <c r="E86" s="2" t="s">
        <v>253</v>
      </c>
      <c r="F86" s="2" t="s">
        <v>254</v>
      </c>
      <c r="G86" s="2" t="s">
        <v>136</v>
      </c>
      <c r="H86" s="2" t="s">
        <v>222</v>
      </c>
      <c r="I86" s="1">
        <v>0</v>
      </c>
      <c r="J86" s="3" t="s">
        <v>16</v>
      </c>
      <c r="K86" s="2" t="str">
        <f>J86*261.00</f>
        <v>0</v>
      </c>
      <c r="L86" s="5"/>
    </row>
    <row r="87" spans="1:12" customHeight="1" ht="105" outlineLevel="4">
      <c r="A87" s="1"/>
      <c r="B87" s="1">
        <v>903109</v>
      </c>
      <c r="C87" s="1" t="s">
        <v>255</v>
      </c>
      <c r="D87" s="1" t="s">
        <v>256</v>
      </c>
      <c r="E87" s="2" t="s">
        <v>257</v>
      </c>
      <c r="F87" s="2" t="s">
        <v>258</v>
      </c>
      <c r="G87" s="2" t="s">
        <v>136</v>
      </c>
      <c r="H87" s="2" t="s">
        <v>222</v>
      </c>
      <c r="I87" s="1">
        <v>0</v>
      </c>
      <c r="J87" s="3" t="s">
        <v>16</v>
      </c>
      <c r="K87" s="2" t="str">
        <f>J87*419.00</f>
        <v>0</v>
      </c>
      <c r="L87" s="5"/>
    </row>
    <row r="88" spans="1:12" customHeight="1" ht="105" outlineLevel="4">
      <c r="A88" s="1"/>
      <c r="B88" s="1">
        <v>903110</v>
      </c>
      <c r="C88" s="1" t="s">
        <v>259</v>
      </c>
      <c r="D88" s="1" t="s">
        <v>260</v>
      </c>
      <c r="E88" s="2" t="s">
        <v>261</v>
      </c>
      <c r="F88" s="2" t="s">
        <v>262</v>
      </c>
      <c r="G88" s="2">
        <v>0</v>
      </c>
      <c r="H88" s="2" t="s">
        <v>180</v>
      </c>
      <c r="I88" s="1">
        <v>0</v>
      </c>
      <c r="J88" s="3" t="s">
        <v>16</v>
      </c>
      <c r="K88" s="2" t="str">
        <f>J88*744.00</f>
        <v>0</v>
      </c>
      <c r="L88" s="5"/>
    </row>
    <row r="89" spans="1:12" customHeight="1" ht="105" outlineLevel="4">
      <c r="A89" s="1"/>
      <c r="B89" s="1">
        <v>903111</v>
      </c>
      <c r="C89" s="1" t="s">
        <v>263</v>
      </c>
      <c r="D89" s="1" t="s">
        <v>264</v>
      </c>
      <c r="E89" s="2" t="s">
        <v>265</v>
      </c>
      <c r="F89" s="2" t="s">
        <v>266</v>
      </c>
      <c r="G89" s="2">
        <v>0</v>
      </c>
      <c r="H89" s="2" t="s">
        <v>180</v>
      </c>
      <c r="I89" s="1">
        <v>0</v>
      </c>
      <c r="J89" s="3" t="s">
        <v>16</v>
      </c>
      <c r="K89" s="2" t="str">
        <f>J89*907.00</f>
        <v>0</v>
      </c>
      <c r="L89" s="5"/>
    </row>
    <row r="90" spans="1:12" customHeight="1" ht="105" outlineLevel="4">
      <c r="A90" s="1"/>
      <c r="B90" s="1">
        <v>903112</v>
      </c>
      <c r="C90" s="1" t="s">
        <v>267</v>
      </c>
      <c r="D90" s="1" t="s">
        <v>268</v>
      </c>
      <c r="E90" s="2" t="s">
        <v>269</v>
      </c>
      <c r="F90" s="2" t="s">
        <v>270</v>
      </c>
      <c r="G90" s="2">
        <v>0</v>
      </c>
      <c r="H90" s="2" t="s">
        <v>180</v>
      </c>
      <c r="I90" s="1">
        <v>0</v>
      </c>
      <c r="J90" s="3" t="s">
        <v>16</v>
      </c>
      <c r="K90" s="2" t="str">
        <f>J90*1605.00</f>
        <v>0</v>
      </c>
      <c r="L90" s="5"/>
    </row>
    <row r="91" spans="1:12" customHeight="1" ht="105" outlineLevel="4">
      <c r="A91" s="1"/>
      <c r="B91" s="1">
        <v>903113</v>
      </c>
      <c r="C91" s="1" t="s">
        <v>271</v>
      </c>
      <c r="D91" s="1" t="s">
        <v>272</v>
      </c>
      <c r="E91" s="2" t="s">
        <v>273</v>
      </c>
      <c r="F91" s="2" t="s">
        <v>274</v>
      </c>
      <c r="G91" s="2" t="s">
        <v>153</v>
      </c>
      <c r="H91" s="2" t="s">
        <v>58</v>
      </c>
      <c r="I91" s="1">
        <v>0</v>
      </c>
      <c r="J91" s="3" t="s">
        <v>16</v>
      </c>
      <c r="K91" s="2" t="str">
        <f>J91*2108.00</f>
        <v>0</v>
      </c>
      <c r="L91" s="5"/>
    </row>
    <row r="92" spans="1:12" customHeight="1" ht="105" outlineLevel="4">
      <c r="A92" s="1"/>
      <c r="B92" s="1">
        <v>903114</v>
      </c>
      <c r="C92" s="1" t="s">
        <v>275</v>
      </c>
      <c r="D92" s="1" t="s">
        <v>276</v>
      </c>
      <c r="E92" s="2" t="s">
        <v>277</v>
      </c>
      <c r="F92" s="2" t="s">
        <v>278</v>
      </c>
      <c r="G92" s="2">
        <v>0</v>
      </c>
      <c r="H92" s="2" t="s">
        <v>58</v>
      </c>
      <c r="I92" s="1">
        <v>0</v>
      </c>
      <c r="J92" s="3" t="s">
        <v>16</v>
      </c>
      <c r="K92" s="2" t="str">
        <f>J92*2841.00</f>
        <v>0</v>
      </c>
      <c r="L92" s="5"/>
    </row>
    <row r="93" spans="1:12" customHeight="1" ht="105" outlineLevel="4">
      <c r="A93" s="1"/>
      <c r="B93" s="1">
        <v>903115</v>
      </c>
      <c r="C93" s="1" t="s">
        <v>279</v>
      </c>
      <c r="D93" s="1" t="s">
        <v>280</v>
      </c>
      <c r="E93" s="2" t="s">
        <v>281</v>
      </c>
      <c r="F93" s="2" t="s">
        <v>282</v>
      </c>
      <c r="G93" s="2" t="s">
        <v>180</v>
      </c>
      <c r="H93" s="2" t="s">
        <v>222</v>
      </c>
      <c r="I93" s="1">
        <v>0</v>
      </c>
      <c r="J93" s="3" t="s">
        <v>16</v>
      </c>
      <c r="K93" s="2" t="str">
        <f>J93*114.00</f>
        <v>0</v>
      </c>
      <c r="L93" s="5"/>
    </row>
    <row r="94" spans="1:12" customHeight="1" ht="105" outlineLevel="4">
      <c r="A94" s="1"/>
      <c r="B94" s="1">
        <v>903116</v>
      </c>
      <c r="C94" s="1" t="s">
        <v>283</v>
      </c>
      <c r="D94" s="1" t="s">
        <v>284</v>
      </c>
      <c r="E94" s="2" t="s">
        <v>285</v>
      </c>
      <c r="F94" s="2" t="s">
        <v>286</v>
      </c>
      <c r="G94" s="2" t="s">
        <v>136</v>
      </c>
      <c r="H94" s="2" t="s">
        <v>222</v>
      </c>
      <c r="I94" s="1">
        <v>0</v>
      </c>
      <c r="J94" s="3" t="s">
        <v>16</v>
      </c>
      <c r="K94" s="2" t="str">
        <f>J94*168.00</f>
        <v>0</v>
      </c>
      <c r="L94" s="5"/>
    </row>
    <row r="95" spans="1:12" customHeight="1" ht="105" outlineLevel="4">
      <c r="A95" s="1"/>
      <c r="B95" s="1">
        <v>903117</v>
      </c>
      <c r="C95" s="1" t="s">
        <v>287</v>
      </c>
      <c r="D95" s="1" t="s">
        <v>288</v>
      </c>
      <c r="E95" s="2" t="s">
        <v>289</v>
      </c>
      <c r="F95" s="2" t="s">
        <v>290</v>
      </c>
      <c r="G95" s="2" t="s">
        <v>58</v>
      </c>
      <c r="H95" s="2" t="s">
        <v>180</v>
      </c>
      <c r="I95" s="1">
        <v>0</v>
      </c>
      <c r="J95" s="3" t="s">
        <v>16</v>
      </c>
      <c r="K95" s="2" t="str">
        <f>J95*280.00</f>
        <v>0</v>
      </c>
      <c r="L95" s="5"/>
    </row>
    <row r="96" spans="1:12" customHeight="1" ht="105" outlineLevel="4">
      <c r="A96" s="1"/>
      <c r="B96" s="1">
        <v>903118</v>
      </c>
      <c r="C96" s="1" t="s">
        <v>291</v>
      </c>
      <c r="D96" s="1" t="s">
        <v>292</v>
      </c>
      <c r="E96" s="2" t="s">
        <v>293</v>
      </c>
      <c r="F96" s="2" t="s">
        <v>294</v>
      </c>
      <c r="G96" s="2">
        <v>0</v>
      </c>
      <c r="H96" s="2" t="s">
        <v>180</v>
      </c>
      <c r="I96" s="1">
        <v>0</v>
      </c>
      <c r="J96" s="3" t="s">
        <v>16</v>
      </c>
      <c r="K96" s="2" t="str">
        <f>J96*460.00</f>
        <v>0</v>
      </c>
      <c r="L96" s="5"/>
    </row>
    <row r="97" spans="1:12" customHeight="1" ht="105" outlineLevel="4">
      <c r="A97" s="1"/>
      <c r="B97" s="1">
        <v>903119</v>
      </c>
      <c r="C97" s="1" t="s">
        <v>295</v>
      </c>
      <c r="D97" s="1" t="s">
        <v>296</v>
      </c>
      <c r="E97" s="2" t="s">
        <v>297</v>
      </c>
      <c r="F97" s="2" t="s">
        <v>298</v>
      </c>
      <c r="G97" s="2">
        <v>0</v>
      </c>
      <c r="H97" s="2">
        <v>4</v>
      </c>
      <c r="I97" s="1">
        <v>0</v>
      </c>
      <c r="J97" s="3" t="s">
        <v>16</v>
      </c>
      <c r="K97" s="2" t="str">
        <f>J97*811.00</f>
        <v>0</v>
      </c>
      <c r="L97" s="5"/>
    </row>
    <row r="98" spans="1:12" customHeight="1" ht="105" outlineLevel="4">
      <c r="A98" s="1"/>
      <c r="B98" s="1">
        <v>903120</v>
      </c>
      <c r="C98" s="1" t="s">
        <v>299</v>
      </c>
      <c r="D98" s="1" t="s">
        <v>300</v>
      </c>
      <c r="E98" s="2" t="s">
        <v>301</v>
      </c>
      <c r="F98" s="2" t="s">
        <v>302</v>
      </c>
      <c r="G98" s="2">
        <v>0</v>
      </c>
      <c r="H98" s="2" t="s">
        <v>58</v>
      </c>
      <c r="I98" s="1">
        <v>0</v>
      </c>
      <c r="J98" s="3" t="s">
        <v>16</v>
      </c>
      <c r="K98" s="2" t="str">
        <f>J98*1293.00</f>
        <v>0</v>
      </c>
      <c r="L98" s="5"/>
    </row>
    <row r="99" spans="1:12" customHeight="1" ht="105" outlineLevel="4">
      <c r="A99" s="1"/>
      <c r="B99" s="1">
        <v>903121</v>
      </c>
      <c r="C99" s="1" t="s">
        <v>303</v>
      </c>
      <c r="D99" s="1" t="s">
        <v>304</v>
      </c>
      <c r="E99" s="2" t="s">
        <v>305</v>
      </c>
      <c r="F99" s="2" t="s">
        <v>306</v>
      </c>
      <c r="G99" s="2">
        <v>0</v>
      </c>
      <c r="H99" s="2" t="s">
        <v>58</v>
      </c>
      <c r="I99" s="1">
        <v>0</v>
      </c>
      <c r="J99" s="3" t="s">
        <v>16</v>
      </c>
      <c r="K99" s="2" t="str">
        <f>J99*1085.00</f>
        <v>0</v>
      </c>
      <c r="L99" s="5"/>
    </row>
    <row r="100" spans="1:12" customHeight="1" ht="105" outlineLevel="4">
      <c r="A100" s="1"/>
      <c r="B100" s="1">
        <v>903122</v>
      </c>
      <c r="C100" s="1" t="s">
        <v>307</v>
      </c>
      <c r="D100" s="1" t="s">
        <v>308</v>
      </c>
      <c r="E100" s="2" t="s">
        <v>309</v>
      </c>
      <c r="F100" s="2" t="s">
        <v>310</v>
      </c>
      <c r="G100" s="2">
        <v>0</v>
      </c>
      <c r="H100" s="2" t="s">
        <v>152</v>
      </c>
      <c r="I100" s="1">
        <v>0</v>
      </c>
      <c r="J100" s="3" t="s">
        <v>16</v>
      </c>
      <c r="K100" s="2" t="str">
        <f>J100*1618.00</f>
        <v>0</v>
      </c>
      <c r="L100" s="5"/>
    </row>
    <row r="101" spans="1:12" customHeight="1" ht="105" outlineLevel="4">
      <c r="A101" s="1"/>
      <c r="B101" s="1">
        <v>903123</v>
      </c>
      <c r="C101" s="1" t="s">
        <v>311</v>
      </c>
      <c r="D101" s="1" t="s">
        <v>312</v>
      </c>
      <c r="E101" s="2" t="s">
        <v>313</v>
      </c>
      <c r="F101" s="2" t="s">
        <v>314</v>
      </c>
      <c r="G101" s="2" t="s">
        <v>58</v>
      </c>
      <c r="H101" s="2" t="s">
        <v>222</v>
      </c>
      <c r="I101" s="1">
        <v>0</v>
      </c>
      <c r="J101" s="3" t="s">
        <v>16</v>
      </c>
      <c r="K101" s="2" t="str">
        <f>J101*133.00</f>
        <v>0</v>
      </c>
      <c r="L101" s="5"/>
    </row>
    <row r="102" spans="1:12" customHeight="1" ht="105" outlineLevel="4">
      <c r="A102" s="1"/>
      <c r="B102" s="1">
        <v>903124</v>
      </c>
      <c r="C102" s="1" t="s">
        <v>315</v>
      </c>
      <c r="D102" s="1" t="s">
        <v>316</v>
      </c>
      <c r="E102" s="2" t="s">
        <v>317</v>
      </c>
      <c r="F102" s="2" t="s">
        <v>318</v>
      </c>
      <c r="G102" s="2" t="s">
        <v>58</v>
      </c>
      <c r="H102" s="2" t="s">
        <v>222</v>
      </c>
      <c r="I102" s="1">
        <v>0</v>
      </c>
      <c r="J102" s="3" t="s">
        <v>16</v>
      </c>
      <c r="K102" s="2" t="str">
        <f>J102*202.00</f>
        <v>0</v>
      </c>
      <c r="L102" s="5"/>
    </row>
    <row r="103" spans="1:12" customHeight="1" ht="105" outlineLevel="4">
      <c r="A103" s="1"/>
      <c r="B103" s="1">
        <v>903125</v>
      </c>
      <c r="C103" s="1" t="s">
        <v>319</v>
      </c>
      <c r="D103" s="1" t="s">
        <v>320</v>
      </c>
      <c r="E103" s="2" t="s">
        <v>321</v>
      </c>
      <c r="F103" s="2" t="s">
        <v>322</v>
      </c>
      <c r="G103" s="2" t="s">
        <v>58</v>
      </c>
      <c r="H103" s="2" t="s">
        <v>180</v>
      </c>
      <c r="I103" s="1">
        <v>0</v>
      </c>
      <c r="J103" s="3" t="s">
        <v>16</v>
      </c>
      <c r="K103" s="2" t="str">
        <f>J103*349.00</f>
        <v>0</v>
      </c>
      <c r="L103" s="5"/>
    </row>
    <row r="104" spans="1:12" customHeight="1" ht="105" outlineLevel="4">
      <c r="A104" s="1"/>
      <c r="B104" s="1">
        <v>903126</v>
      </c>
      <c r="C104" s="1" t="s">
        <v>323</v>
      </c>
      <c r="D104" s="1" t="s">
        <v>324</v>
      </c>
      <c r="E104" s="2" t="s">
        <v>325</v>
      </c>
      <c r="F104" s="2" t="s">
        <v>326</v>
      </c>
      <c r="G104" s="2">
        <v>0</v>
      </c>
      <c r="H104" s="2" t="s">
        <v>180</v>
      </c>
      <c r="I104" s="1">
        <v>0</v>
      </c>
      <c r="J104" s="3" t="s">
        <v>16</v>
      </c>
      <c r="K104" s="2" t="str">
        <f>J104*522.00</f>
        <v>0</v>
      </c>
      <c r="L104" s="5"/>
    </row>
    <row r="105" spans="1:12" customHeight="1" ht="105" outlineLevel="4">
      <c r="A105" s="1"/>
      <c r="B105" s="1">
        <v>903127</v>
      </c>
      <c r="C105" s="1" t="s">
        <v>327</v>
      </c>
      <c r="D105" s="1" t="s">
        <v>328</v>
      </c>
      <c r="E105" s="2" t="s">
        <v>329</v>
      </c>
      <c r="F105" s="2" t="s">
        <v>330</v>
      </c>
      <c r="G105" s="2">
        <v>0</v>
      </c>
      <c r="H105" s="2" t="s">
        <v>58</v>
      </c>
      <c r="I105" s="1">
        <v>0</v>
      </c>
      <c r="J105" s="3" t="s">
        <v>16</v>
      </c>
      <c r="K105" s="2" t="str">
        <f>J105*810.00</f>
        <v>0</v>
      </c>
      <c r="L105" s="5"/>
    </row>
    <row r="106" spans="1:12" customHeight="1" ht="105" outlineLevel="4">
      <c r="A106" s="1"/>
      <c r="B106" s="1">
        <v>903128</v>
      </c>
      <c r="C106" s="1" t="s">
        <v>331</v>
      </c>
      <c r="D106" s="1" t="s">
        <v>332</v>
      </c>
      <c r="E106" s="2" t="s">
        <v>333</v>
      </c>
      <c r="F106" s="2" t="s">
        <v>334</v>
      </c>
      <c r="G106" s="2">
        <v>0</v>
      </c>
      <c r="H106" s="2" t="s">
        <v>74</v>
      </c>
      <c r="I106" s="1">
        <v>0</v>
      </c>
      <c r="J106" s="3" t="s">
        <v>16</v>
      </c>
      <c r="K106" s="2" t="str">
        <f>J106*1400.00</f>
        <v>0</v>
      </c>
      <c r="L106" s="5"/>
    </row>
    <row r="107" spans="1:12" customHeight="1" ht="105" outlineLevel="4">
      <c r="A107" s="1"/>
      <c r="B107" s="1">
        <v>903129</v>
      </c>
      <c r="C107" s="1" t="s">
        <v>335</v>
      </c>
      <c r="D107" s="1" t="s">
        <v>336</v>
      </c>
      <c r="E107" s="2" t="s">
        <v>337</v>
      </c>
      <c r="F107" s="2" t="s">
        <v>302</v>
      </c>
      <c r="G107" s="2">
        <v>0</v>
      </c>
      <c r="H107" s="2" t="s">
        <v>136</v>
      </c>
      <c r="I107" s="1">
        <v>0</v>
      </c>
      <c r="J107" s="3" t="s">
        <v>16</v>
      </c>
      <c r="K107" s="2" t="str">
        <f>J107*1293.00</f>
        <v>0</v>
      </c>
      <c r="L107" s="5"/>
    </row>
    <row r="108" spans="1:12" customHeight="1" ht="105" outlineLevel="4">
      <c r="A108" s="1"/>
      <c r="B108" s="1">
        <v>903130</v>
      </c>
      <c r="C108" s="1" t="s">
        <v>338</v>
      </c>
      <c r="D108" s="1" t="s">
        <v>339</v>
      </c>
      <c r="E108" s="2" t="s">
        <v>340</v>
      </c>
      <c r="F108" s="2" t="s">
        <v>341</v>
      </c>
      <c r="G108" s="2">
        <v>0</v>
      </c>
      <c r="H108" s="2" t="s">
        <v>58</v>
      </c>
      <c r="I108" s="1">
        <v>0</v>
      </c>
      <c r="J108" s="3" t="s">
        <v>16</v>
      </c>
      <c r="K108" s="2" t="str">
        <f>J108*1971.00</f>
        <v>0</v>
      </c>
      <c r="L108" s="5"/>
    </row>
    <row r="109" spans="1:12" customHeight="1" ht="105" outlineLevel="4">
      <c r="A109" s="1"/>
      <c r="B109" s="1">
        <v>903131</v>
      </c>
      <c r="C109" s="1" t="s">
        <v>342</v>
      </c>
      <c r="D109" s="1" t="s">
        <v>343</v>
      </c>
      <c r="E109" s="2" t="s">
        <v>344</v>
      </c>
      <c r="F109" s="2" t="s">
        <v>250</v>
      </c>
      <c r="G109" s="2" t="s">
        <v>136</v>
      </c>
      <c r="H109" s="2" t="s">
        <v>180</v>
      </c>
      <c r="I109" s="1">
        <v>0</v>
      </c>
      <c r="J109" s="3" t="s">
        <v>16</v>
      </c>
      <c r="K109" s="2" t="str">
        <f>J109*181.00</f>
        <v>0</v>
      </c>
      <c r="L109" s="5"/>
    </row>
    <row r="110" spans="1:12" customHeight="1" ht="105" outlineLevel="4">
      <c r="A110" s="1"/>
      <c r="B110" s="1">
        <v>903132</v>
      </c>
      <c r="C110" s="1" t="s">
        <v>345</v>
      </c>
      <c r="D110" s="1" t="s">
        <v>346</v>
      </c>
      <c r="E110" s="2" t="s">
        <v>347</v>
      </c>
      <c r="F110" s="2" t="s">
        <v>254</v>
      </c>
      <c r="G110" s="2" t="s">
        <v>58</v>
      </c>
      <c r="H110" s="2" t="s">
        <v>180</v>
      </c>
      <c r="I110" s="1">
        <v>0</v>
      </c>
      <c r="J110" s="3" t="s">
        <v>16</v>
      </c>
      <c r="K110" s="2" t="str">
        <f>J110*261.00</f>
        <v>0</v>
      </c>
      <c r="L110" s="5"/>
    </row>
    <row r="111" spans="1:12" customHeight="1" ht="105" outlineLevel="4">
      <c r="A111" s="1"/>
      <c r="B111" s="1">
        <v>903133</v>
      </c>
      <c r="C111" s="1" t="s">
        <v>348</v>
      </c>
      <c r="D111" s="1" t="s">
        <v>349</v>
      </c>
      <c r="E111" s="2" t="s">
        <v>350</v>
      </c>
      <c r="F111" s="2" t="s">
        <v>258</v>
      </c>
      <c r="G111" s="2" t="s">
        <v>136</v>
      </c>
      <c r="H111" s="2">
        <v>0</v>
      </c>
      <c r="I111" s="1">
        <v>0</v>
      </c>
      <c r="J111" s="3" t="s">
        <v>16</v>
      </c>
      <c r="K111" s="2" t="str">
        <f>J111*419.00</f>
        <v>0</v>
      </c>
      <c r="L111" s="5"/>
    </row>
    <row r="112" spans="1:12" customHeight="1" ht="105" outlineLevel="4">
      <c r="A112" s="1"/>
      <c r="B112" s="1">
        <v>811245</v>
      </c>
      <c r="C112" s="1" t="s">
        <v>351</v>
      </c>
      <c r="D112" s="1" t="s">
        <v>352</v>
      </c>
      <c r="E112" s="2" t="s">
        <v>353</v>
      </c>
      <c r="F112" s="2" t="s">
        <v>282</v>
      </c>
      <c r="G112" s="2" t="s">
        <v>136</v>
      </c>
      <c r="H112" s="2" t="s">
        <v>180</v>
      </c>
      <c r="I112" s="1">
        <v>0</v>
      </c>
      <c r="J112" s="3" t="s">
        <v>16</v>
      </c>
      <c r="K112" s="2" t="str">
        <f>J112*114.00</f>
        <v>0</v>
      </c>
      <c r="L112" s="5"/>
    </row>
    <row r="113" spans="1:12" customHeight="1" ht="105" outlineLevel="4">
      <c r="A113" s="1"/>
      <c r="B113" s="1">
        <v>811246</v>
      </c>
      <c r="C113" s="1" t="s">
        <v>354</v>
      </c>
      <c r="D113" s="1" t="s">
        <v>355</v>
      </c>
      <c r="E113" s="2" t="s">
        <v>356</v>
      </c>
      <c r="F113" s="2" t="s">
        <v>286</v>
      </c>
      <c r="G113" s="2" t="s">
        <v>58</v>
      </c>
      <c r="H113" s="2" t="s">
        <v>180</v>
      </c>
      <c r="I113" s="1">
        <v>0</v>
      </c>
      <c r="J113" s="3" t="s">
        <v>16</v>
      </c>
      <c r="K113" s="2" t="str">
        <f>J113*168.00</f>
        <v>0</v>
      </c>
      <c r="L113" s="5"/>
    </row>
    <row r="114" spans="1:12" customHeight="1" ht="105" outlineLevel="4">
      <c r="A114" s="1"/>
      <c r="B114" s="1">
        <v>811247</v>
      </c>
      <c r="C114" s="1" t="s">
        <v>357</v>
      </c>
      <c r="D114" s="1" t="s">
        <v>358</v>
      </c>
      <c r="E114" s="2" t="s">
        <v>359</v>
      </c>
      <c r="F114" s="2" t="s">
        <v>290</v>
      </c>
      <c r="G114" s="2" t="s">
        <v>58</v>
      </c>
      <c r="H114" s="2" t="s">
        <v>180</v>
      </c>
      <c r="I114" s="1">
        <v>0</v>
      </c>
      <c r="J114" s="3" t="s">
        <v>16</v>
      </c>
      <c r="K114" s="2" t="str">
        <f>J114*280.00</f>
        <v>0</v>
      </c>
      <c r="L114" s="5"/>
    </row>
    <row r="115" spans="1:12" customHeight="1" ht="105" outlineLevel="4">
      <c r="A115" s="1"/>
      <c r="B115" s="1">
        <v>903134</v>
      </c>
      <c r="C115" s="1" t="s">
        <v>360</v>
      </c>
      <c r="D115" s="1" t="s">
        <v>361</v>
      </c>
      <c r="E115" s="2" t="s">
        <v>362</v>
      </c>
      <c r="F115" s="2" t="s">
        <v>217</v>
      </c>
      <c r="G115" s="2" t="s">
        <v>58</v>
      </c>
      <c r="H115" s="2" t="s">
        <v>180</v>
      </c>
      <c r="I115" s="1">
        <v>0</v>
      </c>
      <c r="J115" s="3" t="s">
        <v>16</v>
      </c>
      <c r="K115" s="2" t="str">
        <f>J115*117.00</f>
        <v>0</v>
      </c>
      <c r="L115" s="5"/>
    </row>
    <row r="116" spans="1:12" customHeight="1" ht="105" outlineLevel="4">
      <c r="A116" s="1"/>
      <c r="B116" s="1">
        <v>903135</v>
      </c>
      <c r="C116" s="1" t="s">
        <v>363</v>
      </c>
      <c r="D116" s="1" t="s">
        <v>364</v>
      </c>
      <c r="E116" s="2" t="s">
        <v>365</v>
      </c>
      <c r="F116" s="2" t="s">
        <v>221</v>
      </c>
      <c r="G116" s="2" t="s">
        <v>74</v>
      </c>
      <c r="H116" s="2" t="s">
        <v>180</v>
      </c>
      <c r="I116" s="1">
        <v>0</v>
      </c>
      <c r="J116" s="3" t="s">
        <v>16</v>
      </c>
      <c r="K116" s="2" t="str">
        <f>J116*182.00</f>
        <v>0</v>
      </c>
      <c r="L116" s="5"/>
    </row>
    <row r="117" spans="1:12" customHeight="1" ht="105" outlineLevel="4">
      <c r="A117" s="1"/>
      <c r="B117" s="1">
        <v>903136</v>
      </c>
      <c r="C117" s="1" t="s">
        <v>366</v>
      </c>
      <c r="D117" s="1" t="s">
        <v>367</v>
      </c>
      <c r="E117" s="2" t="s">
        <v>368</v>
      </c>
      <c r="F117" s="2" t="s">
        <v>226</v>
      </c>
      <c r="G117" s="2" t="s">
        <v>74</v>
      </c>
      <c r="H117" s="2" t="s">
        <v>180</v>
      </c>
      <c r="I117" s="1">
        <v>0</v>
      </c>
      <c r="J117" s="3" t="s">
        <v>16</v>
      </c>
      <c r="K117" s="2" t="str">
        <f>J117*298.00</f>
        <v>0</v>
      </c>
      <c r="L117" s="5"/>
    </row>
    <row r="118" spans="1:12" customHeight="1" ht="105" outlineLevel="4">
      <c r="A118" s="1"/>
      <c r="B118" s="1">
        <v>903365</v>
      </c>
      <c r="C118" s="1" t="s">
        <v>369</v>
      </c>
      <c r="D118" s="1" t="s">
        <v>370</v>
      </c>
      <c r="E118" s="2" t="s">
        <v>371</v>
      </c>
      <c r="F118" s="2" t="s">
        <v>372</v>
      </c>
      <c r="G118" s="2">
        <v>0</v>
      </c>
      <c r="H118" s="2" t="s">
        <v>58</v>
      </c>
      <c r="I118" s="1">
        <v>0</v>
      </c>
      <c r="J118" s="3" t="s">
        <v>16</v>
      </c>
      <c r="K118" s="2" t="str">
        <f>J118*2446.00</f>
        <v>0</v>
      </c>
      <c r="L118" s="5"/>
    </row>
    <row r="119" spans="1:12" outlineLevel="2">
      <c r="A119" s="8" t="s">
        <v>373</v>
      </c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5"/>
    </row>
    <row r="120" spans="1:12" customHeight="1" ht="105" outlineLevel="4">
      <c r="A120" s="1"/>
      <c r="B120" s="1">
        <v>930213</v>
      </c>
      <c r="C120" s="1" t="s">
        <v>374</v>
      </c>
      <c r="D120" s="1"/>
      <c r="E120" s="2" t="s">
        <v>375</v>
      </c>
      <c r="F120" s="2" t="s">
        <v>376</v>
      </c>
      <c r="G120" s="2">
        <v>-38</v>
      </c>
      <c r="H120" s="2">
        <v>0</v>
      </c>
      <c r="I120" s="1">
        <v>0</v>
      </c>
      <c r="J120" s="3" t="s">
        <v>16</v>
      </c>
      <c r="K120" s="2" t="str">
        <f>J120*52.80</f>
        <v>0</v>
      </c>
      <c r="L120" s="5"/>
    </row>
    <row r="121" spans="1:12" customHeight="1" ht="105" outlineLevel="4">
      <c r="A121" s="1"/>
      <c r="B121" s="1">
        <v>930214</v>
      </c>
      <c r="C121" s="1" t="s">
        <v>377</v>
      </c>
      <c r="D121" s="1"/>
      <c r="E121" s="2" t="s">
        <v>378</v>
      </c>
      <c r="F121" s="2" t="s">
        <v>379</v>
      </c>
      <c r="G121" s="2">
        <v>0</v>
      </c>
      <c r="H121" s="2">
        <v>0</v>
      </c>
      <c r="I121" s="1">
        <v>0</v>
      </c>
      <c r="J121" s="3" t="s">
        <v>16</v>
      </c>
      <c r="K121" s="2" t="str">
        <f>J121*81.40</f>
        <v>0</v>
      </c>
      <c r="L121" s="5"/>
    </row>
    <row r="122" spans="1:12" customHeight="1" ht="105" outlineLevel="4">
      <c r="A122" s="1"/>
      <c r="B122" s="1">
        <v>930215</v>
      </c>
      <c r="C122" s="1" t="s">
        <v>380</v>
      </c>
      <c r="D122" s="1"/>
      <c r="E122" s="2" t="s">
        <v>381</v>
      </c>
      <c r="F122" s="2" t="s">
        <v>382</v>
      </c>
      <c r="G122" s="2">
        <v>0</v>
      </c>
      <c r="H122" s="2">
        <v>0</v>
      </c>
      <c r="I122" s="1">
        <v>0</v>
      </c>
      <c r="J122" s="3" t="s">
        <v>16</v>
      </c>
      <c r="K122" s="2" t="str">
        <f>J122*140.00</f>
        <v>0</v>
      </c>
      <c r="L122" s="5"/>
    </row>
    <row r="123" spans="1:12" customHeight="1" ht="105" outlineLevel="4">
      <c r="A123" s="1"/>
      <c r="B123" s="1">
        <v>930216</v>
      </c>
      <c r="C123" s="1" t="s">
        <v>383</v>
      </c>
      <c r="D123" s="1"/>
      <c r="E123" s="2" t="s">
        <v>384</v>
      </c>
      <c r="F123" s="2" t="s">
        <v>385</v>
      </c>
      <c r="G123" s="2" t="s">
        <v>58</v>
      </c>
      <c r="H123" s="2">
        <v>0</v>
      </c>
      <c r="I123" s="1">
        <v>0</v>
      </c>
      <c r="J123" s="3" t="s">
        <v>16</v>
      </c>
      <c r="K123" s="2" t="str">
        <f>J123*230.00</f>
        <v>0</v>
      </c>
      <c r="L123" s="5"/>
    </row>
    <row r="124" spans="1:12" customHeight="1" ht="105" outlineLevel="4">
      <c r="A124" s="1"/>
      <c r="B124" s="1">
        <v>930217</v>
      </c>
      <c r="C124" s="1" t="s">
        <v>386</v>
      </c>
      <c r="D124" s="1"/>
      <c r="E124" s="2" t="s">
        <v>387</v>
      </c>
      <c r="F124" s="2" t="s">
        <v>388</v>
      </c>
      <c r="G124" s="2" t="s">
        <v>58</v>
      </c>
      <c r="H124" s="2">
        <v>0</v>
      </c>
      <c r="I124" s="1">
        <v>0</v>
      </c>
      <c r="J124" s="3" t="s">
        <v>16</v>
      </c>
      <c r="K124" s="2" t="str">
        <f>J124*380.00</f>
        <v>0</v>
      </c>
      <c r="L124" s="5"/>
    </row>
    <row r="125" spans="1:12" customHeight="1" ht="105" outlineLevel="4">
      <c r="A125" s="1"/>
      <c r="B125" s="1">
        <v>930218</v>
      </c>
      <c r="C125" s="1" t="s">
        <v>389</v>
      </c>
      <c r="D125" s="1"/>
      <c r="E125" s="2" t="s">
        <v>390</v>
      </c>
      <c r="F125" s="2" t="s">
        <v>391</v>
      </c>
      <c r="G125" s="2" t="s">
        <v>152</v>
      </c>
      <c r="H125" s="2">
        <v>0</v>
      </c>
      <c r="I125" s="1">
        <v>0</v>
      </c>
      <c r="J125" s="3" t="s">
        <v>16</v>
      </c>
      <c r="K125" s="2" t="str">
        <f>J125*550.00</f>
        <v>0</v>
      </c>
      <c r="L125" s="5"/>
    </row>
    <row r="126" spans="1:12" customHeight="1" ht="105" outlineLevel="4">
      <c r="A126" s="1"/>
      <c r="B126" s="1">
        <v>930219</v>
      </c>
      <c r="C126" s="1" t="s">
        <v>392</v>
      </c>
      <c r="D126" s="1"/>
      <c r="E126" s="2" t="s">
        <v>393</v>
      </c>
      <c r="F126" s="2" t="s">
        <v>394</v>
      </c>
      <c r="G126" s="2">
        <v>0</v>
      </c>
      <c r="H126" s="2">
        <v>0</v>
      </c>
      <c r="I126" s="1">
        <v>0</v>
      </c>
      <c r="J126" s="3" t="s">
        <v>16</v>
      </c>
      <c r="K126" s="2" t="str">
        <f>J126*0.00</f>
        <v>0</v>
      </c>
      <c r="L126" s="5"/>
    </row>
    <row r="127" spans="1:12" customHeight="1" ht="105" outlineLevel="4">
      <c r="A127" s="1"/>
      <c r="B127" s="1">
        <v>930220</v>
      </c>
      <c r="C127" s="1" t="s">
        <v>395</v>
      </c>
      <c r="D127" s="1"/>
      <c r="E127" s="2" t="s">
        <v>396</v>
      </c>
      <c r="F127" s="2" t="s">
        <v>394</v>
      </c>
      <c r="G127" s="2">
        <v>0</v>
      </c>
      <c r="H127" s="2">
        <v>0</v>
      </c>
      <c r="I127" s="1">
        <v>0</v>
      </c>
      <c r="J127" s="3" t="s">
        <v>16</v>
      </c>
      <c r="K127" s="2" t="str">
        <f>J127*0.00</f>
        <v>0</v>
      </c>
      <c r="L127" s="5"/>
    </row>
    <row r="128" spans="1:12" customHeight="1" ht="105" outlineLevel="4">
      <c r="A128" s="1"/>
      <c r="B128" s="1">
        <v>930221</v>
      </c>
      <c r="C128" s="1" t="s">
        <v>397</v>
      </c>
      <c r="D128" s="1"/>
      <c r="E128" s="2" t="s">
        <v>398</v>
      </c>
      <c r="F128" s="2" t="s">
        <v>394</v>
      </c>
      <c r="G128" s="2">
        <v>0</v>
      </c>
      <c r="H128" s="2">
        <v>0</v>
      </c>
      <c r="I128" s="1">
        <v>0</v>
      </c>
      <c r="J128" s="3" t="s">
        <v>16</v>
      </c>
      <c r="K128" s="2" t="str">
        <f>J128*0.00</f>
        <v>0</v>
      </c>
      <c r="L128" s="5"/>
    </row>
    <row r="129" spans="1:12" customHeight="1" ht="105" outlineLevel="4">
      <c r="A129" s="1"/>
      <c r="B129" s="1">
        <v>930222</v>
      </c>
      <c r="C129" s="1" t="s">
        <v>399</v>
      </c>
      <c r="D129" s="1"/>
      <c r="E129" s="2" t="s">
        <v>400</v>
      </c>
      <c r="F129" s="2" t="s">
        <v>401</v>
      </c>
      <c r="G129" s="2">
        <v>0</v>
      </c>
      <c r="H129" s="2">
        <v>0</v>
      </c>
      <c r="I129" s="1">
        <v>0</v>
      </c>
      <c r="J129" s="3" t="s">
        <v>16</v>
      </c>
      <c r="K129" s="2" t="str">
        <f>J129*44.74</f>
        <v>0</v>
      </c>
      <c r="L129" s="5"/>
    </row>
    <row r="130" spans="1:12" customHeight="1" ht="105" outlineLevel="4">
      <c r="A130" s="1"/>
      <c r="B130" s="1">
        <v>930223</v>
      </c>
      <c r="C130" s="1" t="s">
        <v>402</v>
      </c>
      <c r="D130" s="1"/>
      <c r="E130" s="2" t="s">
        <v>403</v>
      </c>
      <c r="F130" s="2" t="s">
        <v>404</v>
      </c>
      <c r="G130" s="2" t="s">
        <v>74</v>
      </c>
      <c r="H130" s="2">
        <v>0</v>
      </c>
      <c r="I130" s="1">
        <v>0</v>
      </c>
      <c r="J130" s="3" t="s">
        <v>16</v>
      </c>
      <c r="K130" s="2" t="str">
        <f>J130*69.30</f>
        <v>0</v>
      </c>
      <c r="L130" s="5"/>
    </row>
    <row r="131" spans="1:12" customHeight="1" ht="105" outlineLevel="4">
      <c r="A131" s="1"/>
      <c r="B131" s="1">
        <v>930224</v>
      </c>
      <c r="C131" s="1" t="s">
        <v>405</v>
      </c>
      <c r="D131" s="1"/>
      <c r="E131" s="2" t="s">
        <v>406</v>
      </c>
      <c r="F131" s="2" t="s">
        <v>407</v>
      </c>
      <c r="G131" s="2">
        <v>0</v>
      </c>
      <c r="H131" s="2">
        <v>0</v>
      </c>
      <c r="I131" s="1">
        <v>0</v>
      </c>
      <c r="J131" s="3" t="s">
        <v>16</v>
      </c>
      <c r="K131" s="2" t="str">
        <f>J131*115.50</f>
        <v>0</v>
      </c>
      <c r="L131" s="5"/>
    </row>
    <row r="132" spans="1:12" customHeight="1" ht="105" outlineLevel="4">
      <c r="A132" s="1"/>
      <c r="B132" s="1">
        <v>930225</v>
      </c>
      <c r="C132" s="1" t="s">
        <v>408</v>
      </c>
      <c r="D132" s="1"/>
      <c r="E132" s="2" t="s">
        <v>409</v>
      </c>
      <c r="F132" s="2" t="s">
        <v>410</v>
      </c>
      <c r="G132" s="2">
        <v>0</v>
      </c>
      <c r="H132" s="2">
        <v>0</v>
      </c>
      <c r="I132" s="1">
        <v>0</v>
      </c>
      <c r="J132" s="3" t="s">
        <v>16</v>
      </c>
      <c r="K132" s="2" t="str">
        <f>J132*176.00</f>
        <v>0</v>
      </c>
      <c r="L132" s="5"/>
    </row>
    <row r="133" spans="1:12" customHeight="1" ht="105" outlineLevel="4">
      <c r="A133" s="1"/>
      <c r="B133" s="1">
        <v>930226</v>
      </c>
      <c r="C133" s="1" t="s">
        <v>411</v>
      </c>
      <c r="D133" s="1"/>
      <c r="E133" s="2" t="s">
        <v>412</v>
      </c>
      <c r="F133" s="2" t="s">
        <v>413</v>
      </c>
      <c r="G133" s="2">
        <v>0</v>
      </c>
      <c r="H133" s="2">
        <v>0</v>
      </c>
      <c r="I133" s="1">
        <v>0</v>
      </c>
      <c r="J133" s="3" t="s">
        <v>16</v>
      </c>
      <c r="K133" s="2" t="str">
        <f>J133*340.00</f>
        <v>0</v>
      </c>
      <c r="L133" s="5"/>
    </row>
    <row r="134" spans="1:12" customHeight="1" ht="105" outlineLevel="4">
      <c r="A134" s="1"/>
      <c r="B134" s="1">
        <v>930227</v>
      </c>
      <c r="C134" s="1" t="s">
        <v>414</v>
      </c>
      <c r="D134" s="1"/>
      <c r="E134" s="2" t="s">
        <v>415</v>
      </c>
      <c r="F134" s="2" t="s">
        <v>416</v>
      </c>
      <c r="G134" s="2" t="s">
        <v>74</v>
      </c>
      <c r="H134" s="2">
        <v>0</v>
      </c>
      <c r="I134" s="1">
        <v>0</v>
      </c>
      <c r="J134" s="3" t="s">
        <v>16</v>
      </c>
      <c r="K134" s="2" t="str">
        <f>J134*480.00</f>
        <v>0</v>
      </c>
      <c r="L134" s="5"/>
    </row>
    <row r="135" spans="1:12" customHeight="1" ht="105" outlineLevel="4">
      <c r="A135" s="1"/>
      <c r="B135" s="1">
        <v>930228</v>
      </c>
      <c r="C135" s="1" t="s">
        <v>417</v>
      </c>
      <c r="D135" s="1"/>
      <c r="E135" s="2" t="s">
        <v>418</v>
      </c>
      <c r="F135" s="2" t="s">
        <v>419</v>
      </c>
      <c r="G135" s="2" t="s">
        <v>152</v>
      </c>
      <c r="H135" s="2">
        <v>0</v>
      </c>
      <c r="I135" s="1">
        <v>0</v>
      </c>
      <c r="J135" s="3" t="s">
        <v>16</v>
      </c>
      <c r="K135" s="2" t="str">
        <f>J135*670.00</f>
        <v>0</v>
      </c>
      <c r="L135" s="5"/>
    </row>
    <row r="136" spans="1:12" customHeight="1" ht="105" outlineLevel="4">
      <c r="A136" s="1"/>
      <c r="B136" s="1">
        <v>930229</v>
      </c>
      <c r="C136" s="1" t="s">
        <v>420</v>
      </c>
      <c r="D136" s="1"/>
      <c r="E136" s="2" t="s">
        <v>421</v>
      </c>
      <c r="F136" s="2" t="s">
        <v>394</v>
      </c>
      <c r="G136" s="2">
        <v>0</v>
      </c>
      <c r="H136" s="2">
        <v>0</v>
      </c>
      <c r="I136" s="1">
        <v>0</v>
      </c>
      <c r="J136" s="3" t="s">
        <v>16</v>
      </c>
      <c r="K136" s="2" t="str">
        <f>J136*0.00</f>
        <v>0</v>
      </c>
      <c r="L136" s="5"/>
    </row>
    <row r="137" spans="1:12" customHeight="1" ht="105" outlineLevel="4">
      <c r="A137" s="1"/>
      <c r="B137" s="1">
        <v>930230</v>
      </c>
      <c r="C137" s="1" t="s">
        <v>422</v>
      </c>
      <c r="D137" s="1"/>
      <c r="E137" s="2" t="s">
        <v>423</v>
      </c>
      <c r="F137" s="2" t="s">
        <v>394</v>
      </c>
      <c r="G137" s="2">
        <v>0</v>
      </c>
      <c r="H137" s="2">
        <v>0</v>
      </c>
      <c r="I137" s="1">
        <v>0</v>
      </c>
      <c r="J137" s="3" t="s">
        <v>16</v>
      </c>
      <c r="K137" s="2" t="str">
        <f>J137*0.00</f>
        <v>0</v>
      </c>
      <c r="L137" s="5"/>
    </row>
    <row r="138" spans="1:12" customHeight="1" ht="105" outlineLevel="4">
      <c r="A138" s="1"/>
      <c r="B138" s="1">
        <v>930231</v>
      </c>
      <c r="C138" s="1" t="s">
        <v>424</v>
      </c>
      <c r="D138" s="1"/>
      <c r="E138" s="2" t="s">
        <v>425</v>
      </c>
      <c r="F138" s="2" t="s">
        <v>426</v>
      </c>
      <c r="G138" s="2">
        <v>0</v>
      </c>
      <c r="H138" s="2">
        <v>0</v>
      </c>
      <c r="I138" s="1">
        <v>0</v>
      </c>
      <c r="J138" s="3" t="s">
        <v>16</v>
      </c>
      <c r="K138" s="2" t="str">
        <f>J138*55.40</f>
        <v>0</v>
      </c>
      <c r="L138" s="5"/>
    </row>
    <row r="139" spans="1:12" customHeight="1" ht="105" outlineLevel="4">
      <c r="A139" s="1"/>
      <c r="B139" s="1">
        <v>930232</v>
      </c>
      <c r="C139" s="1" t="s">
        <v>427</v>
      </c>
      <c r="D139" s="1"/>
      <c r="E139" s="2" t="s">
        <v>428</v>
      </c>
      <c r="F139" s="2" t="s">
        <v>429</v>
      </c>
      <c r="G139" s="2">
        <v>0</v>
      </c>
      <c r="H139" s="2">
        <v>0</v>
      </c>
      <c r="I139" s="1">
        <v>0</v>
      </c>
      <c r="J139" s="3" t="s">
        <v>16</v>
      </c>
      <c r="K139" s="2" t="str">
        <f>J139*82.00</f>
        <v>0</v>
      </c>
      <c r="L139" s="5"/>
    </row>
    <row r="140" spans="1:12" customHeight="1" ht="105" outlineLevel="4">
      <c r="A140" s="1"/>
      <c r="B140" s="1">
        <v>930233</v>
      </c>
      <c r="C140" s="1" t="s">
        <v>430</v>
      </c>
      <c r="D140" s="1"/>
      <c r="E140" s="2" t="s">
        <v>431</v>
      </c>
      <c r="F140" s="2" t="s">
        <v>432</v>
      </c>
      <c r="G140" s="2">
        <v>0</v>
      </c>
      <c r="H140" s="2">
        <v>0</v>
      </c>
      <c r="I140" s="1">
        <v>0</v>
      </c>
      <c r="J140" s="3" t="s">
        <v>16</v>
      </c>
      <c r="K140" s="2" t="str">
        <f>J140*134.00</f>
        <v>0</v>
      </c>
      <c r="L140" s="5"/>
    </row>
    <row r="141" spans="1:12" customHeight="1" ht="105" outlineLevel="4">
      <c r="A141" s="1"/>
      <c r="B141" s="1">
        <v>930234</v>
      </c>
      <c r="C141" s="1" t="s">
        <v>433</v>
      </c>
      <c r="D141" s="1"/>
      <c r="E141" s="2" t="s">
        <v>434</v>
      </c>
      <c r="F141" s="2" t="s">
        <v>435</v>
      </c>
      <c r="G141" s="2">
        <v>0</v>
      </c>
      <c r="H141" s="2">
        <v>0</v>
      </c>
      <c r="I141" s="1">
        <v>0</v>
      </c>
      <c r="J141" s="3" t="s">
        <v>16</v>
      </c>
      <c r="K141" s="2" t="str">
        <f>J141*263.00</f>
        <v>0</v>
      </c>
      <c r="L141" s="5"/>
    </row>
    <row r="142" spans="1:12" customHeight="1" ht="105" outlineLevel="4">
      <c r="A142" s="1"/>
      <c r="B142" s="1">
        <v>930235</v>
      </c>
      <c r="C142" s="1" t="s">
        <v>436</v>
      </c>
      <c r="D142" s="1"/>
      <c r="E142" s="2" t="s">
        <v>437</v>
      </c>
      <c r="F142" s="2" t="s">
        <v>438</v>
      </c>
      <c r="G142" s="2">
        <v>0</v>
      </c>
      <c r="H142" s="2">
        <v>0</v>
      </c>
      <c r="I142" s="1">
        <v>0</v>
      </c>
      <c r="J142" s="3" t="s">
        <v>16</v>
      </c>
      <c r="K142" s="2" t="str">
        <f>J142*376.00</f>
        <v>0</v>
      </c>
      <c r="L142" s="5"/>
    </row>
    <row r="143" spans="1:12" customHeight="1" ht="105" outlineLevel="4">
      <c r="A143" s="1"/>
      <c r="B143" s="1">
        <v>930236</v>
      </c>
      <c r="C143" s="1" t="s">
        <v>439</v>
      </c>
      <c r="D143" s="1"/>
      <c r="E143" s="2" t="s">
        <v>440</v>
      </c>
      <c r="F143" s="2" t="s">
        <v>441</v>
      </c>
      <c r="G143" s="2">
        <v>0</v>
      </c>
      <c r="H143" s="2">
        <v>0</v>
      </c>
      <c r="I143" s="1">
        <v>0</v>
      </c>
      <c r="J143" s="3" t="s">
        <v>16</v>
      </c>
      <c r="K143" s="2" t="str">
        <f>J143*546.00</f>
        <v>0</v>
      </c>
      <c r="L143" s="5"/>
    </row>
    <row r="144" spans="1:12" outlineLevel="1">
      <c r="A144" s="7" t="s">
        <v>442</v>
      </c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5"/>
    </row>
    <row r="145" spans="1:12" outlineLevel="2">
      <c r="A145" s="8" t="s">
        <v>443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5"/>
    </row>
    <row r="146" spans="1:12" customHeight="1" ht="105" outlineLevel="4">
      <c r="A146" s="1"/>
      <c r="B146" s="1">
        <v>929756</v>
      </c>
      <c r="C146" s="1" t="s">
        <v>444</v>
      </c>
      <c r="D146" s="1"/>
      <c r="E146" s="2" t="s">
        <v>445</v>
      </c>
      <c r="F146" s="2" t="s">
        <v>446</v>
      </c>
      <c r="G146" s="2" t="s">
        <v>58</v>
      </c>
      <c r="H146" s="2">
        <v>0</v>
      </c>
      <c r="I146" s="1" t="s">
        <v>136</v>
      </c>
      <c r="J146" s="3" t="s">
        <v>447</v>
      </c>
      <c r="K146" s="2" t="str">
        <f>J146*5.84</f>
        <v>0</v>
      </c>
      <c r="L146" s="5"/>
    </row>
    <row r="147" spans="1:12" customHeight="1" ht="105" outlineLevel="4">
      <c r="A147" s="1"/>
      <c r="B147" s="1">
        <v>929757</v>
      </c>
      <c r="C147" s="1" t="s">
        <v>448</v>
      </c>
      <c r="D147" s="1"/>
      <c r="E147" s="2" t="s">
        <v>449</v>
      </c>
      <c r="F147" s="2" t="s">
        <v>450</v>
      </c>
      <c r="G147" s="2" t="s">
        <v>58</v>
      </c>
      <c r="H147" s="2">
        <v>0</v>
      </c>
      <c r="I147" s="1" t="s">
        <v>136</v>
      </c>
      <c r="J147" s="3" t="s">
        <v>447</v>
      </c>
      <c r="K147" s="2" t="str">
        <f>J147*9.09</f>
        <v>0</v>
      </c>
      <c r="L147" s="5"/>
    </row>
    <row r="148" spans="1:12" customHeight="1" ht="105" outlineLevel="4">
      <c r="A148" s="1"/>
      <c r="B148" s="1">
        <v>929758</v>
      </c>
      <c r="C148" s="1" t="s">
        <v>451</v>
      </c>
      <c r="D148" s="1"/>
      <c r="E148" s="2" t="s">
        <v>452</v>
      </c>
      <c r="F148" s="2" t="s">
        <v>453</v>
      </c>
      <c r="G148" s="2" t="s">
        <v>58</v>
      </c>
      <c r="H148" s="2">
        <v>0</v>
      </c>
      <c r="I148" s="1">
        <v>0</v>
      </c>
      <c r="J148" s="3" t="s">
        <v>447</v>
      </c>
      <c r="K148" s="2" t="str">
        <f>J148*16.68</f>
        <v>0</v>
      </c>
      <c r="L148" s="5"/>
    </row>
    <row r="149" spans="1:12" customHeight="1" ht="105" outlineLevel="4">
      <c r="A149" s="1"/>
      <c r="B149" s="1">
        <v>929759</v>
      </c>
      <c r="C149" s="1" t="s">
        <v>454</v>
      </c>
      <c r="D149" s="1"/>
      <c r="E149" s="2" t="s">
        <v>455</v>
      </c>
      <c r="F149" s="2" t="s">
        <v>456</v>
      </c>
      <c r="G149" s="2" t="s">
        <v>58</v>
      </c>
      <c r="H149" s="2">
        <v>0</v>
      </c>
      <c r="I149" s="1">
        <v>0</v>
      </c>
      <c r="J149" s="3" t="s">
        <v>447</v>
      </c>
      <c r="K149" s="2" t="str">
        <f>J149*26.25</f>
        <v>0</v>
      </c>
      <c r="L149" s="5"/>
    </row>
    <row r="150" spans="1:12" customHeight="1" ht="105" outlineLevel="4">
      <c r="A150" s="1"/>
      <c r="B150" s="1">
        <v>929760</v>
      </c>
      <c r="C150" s="1" t="s">
        <v>457</v>
      </c>
      <c r="D150" s="1"/>
      <c r="E150" s="2" t="s">
        <v>458</v>
      </c>
      <c r="F150" s="2" t="s">
        <v>459</v>
      </c>
      <c r="G150" s="2" t="s">
        <v>58</v>
      </c>
      <c r="H150" s="2">
        <v>0</v>
      </c>
      <c r="I150" s="1">
        <v>0</v>
      </c>
      <c r="J150" s="3" t="s">
        <v>447</v>
      </c>
      <c r="K150" s="2" t="str">
        <f>J150*41.16</f>
        <v>0</v>
      </c>
      <c r="L150" s="5"/>
    </row>
    <row r="151" spans="1:12" customHeight="1" ht="105" outlineLevel="4">
      <c r="A151" s="1"/>
      <c r="B151" s="1">
        <v>929761</v>
      </c>
      <c r="C151" s="1" t="s">
        <v>460</v>
      </c>
      <c r="D151" s="1"/>
      <c r="E151" s="2" t="s">
        <v>461</v>
      </c>
      <c r="F151" s="2" t="s">
        <v>462</v>
      </c>
      <c r="G151" s="2" t="s">
        <v>152</v>
      </c>
      <c r="H151" s="2">
        <v>0</v>
      </c>
      <c r="I151" s="1" t="s">
        <v>74</v>
      </c>
      <c r="J151" s="3" t="s">
        <v>447</v>
      </c>
      <c r="K151" s="2" t="str">
        <f>J151*73.08</f>
        <v>0</v>
      </c>
      <c r="L151" s="5"/>
    </row>
    <row r="152" spans="1:12" customHeight="1" ht="105" outlineLevel="4">
      <c r="A152" s="1"/>
      <c r="B152" s="1">
        <v>929762</v>
      </c>
      <c r="C152" s="1" t="s">
        <v>463</v>
      </c>
      <c r="D152" s="1"/>
      <c r="E152" s="2" t="s">
        <v>464</v>
      </c>
      <c r="F152" s="2" t="s">
        <v>465</v>
      </c>
      <c r="G152" s="2">
        <v>0</v>
      </c>
      <c r="H152" s="2">
        <v>0</v>
      </c>
      <c r="I152" s="1">
        <v>0</v>
      </c>
      <c r="J152" s="3" t="s">
        <v>447</v>
      </c>
      <c r="K152" s="2" t="str">
        <f>J152*148.68</f>
        <v>0</v>
      </c>
      <c r="L152" s="5"/>
    </row>
    <row r="153" spans="1:12" customHeight="1" ht="105" outlineLevel="4">
      <c r="A153" s="1"/>
      <c r="B153" s="1">
        <v>929763</v>
      </c>
      <c r="C153" s="1" t="s">
        <v>466</v>
      </c>
      <c r="D153" s="1"/>
      <c r="E153" s="2" t="s">
        <v>467</v>
      </c>
      <c r="F153" s="2" t="s">
        <v>468</v>
      </c>
      <c r="G153" s="2">
        <v>0</v>
      </c>
      <c r="H153" s="2">
        <v>0</v>
      </c>
      <c r="I153" s="1">
        <v>0</v>
      </c>
      <c r="J153" s="3" t="s">
        <v>447</v>
      </c>
      <c r="K153" s="2" t="str">
        <f>J153*243.18</f>
        <v>0</v>
      </c>
      <c r="L153" s="5"/>
    </row>
    <row r="154" spans="1:12" customHeight="1" ht="105" outlineLevel="4">
      <c r="A154" s="1"/>
      <c r="B154" s="1">
        <v>929764</v>
      </c>
      <c r="C154" s="1" t="s">
        <v>469</v>
      </c>
      <c r="D154" s="1"/>
      <c r="E154" s="2" t="s">
        <v>470</v>
      </c>
      <c r="F154" s="2" t="s">
        <v>471</v>
      </c>
      <c r="G154" s="2">
        <v>0</v>
      </c>
      <c r="H154" s="2">
        <v>0</v>
      </c>
      <c r="I154" s="1">
        <v>0</v>
      </c>
      <c r="J154" s="3" t="s">
        <v>447</v>
      </c>
      <c r="K154" s="2" t="str">
        <f>J154*409.92</f>
        <v>0</v>
      </c>
      <c r="L154" s="5"/>
    </row>
    <row r="155" spans="1:12" customHeight="1" ht="105" outlineLevel="4">
      <c r="A155" s="1"/>
      <c r="B155" s="1">
        <v>929765</v>
      </c>
      <c r="C155" s="1" t="s">
        <v>472</v>
      </c>
      <c r="D155" s="1"/>
      <c r="E155" s="2" t="s">
        <v>473</v>
      </c>
      <c r="F155" s="2" t="s">
        <v>474</v>
      </c>
      <c r="G155" s="2">
        <v>0</v>
      </c>
      <c r="H155" s="2">
        <v>0</v>
      </c>
      <c r="I155" s="1">
        <v>0</v>
      </c>
      <c r="J155" s="3" t="s">
        <v>447</v>
      </c>
      <c r="K155" s="2" t="str">
        <f>J155*816.06</f>
        <v>0</v>
      </c>
      <c r="L155" s="5"/>
    </row>
    <row r="156" spans="1:12" customHeight="1" ht="105" outlineLevel="4">
      <c r="A156" s="1"/>
      <c r="B156" s="1">
        <v>929766</v>
      </c>
      <c r="C156" s="1" t="s">
        <v>475</v>
      </c>
      <c r="D156" s="1"/>
      <c r="E156" s="2" t="s">
        <v>476</v>
      </c>
      <c r="F156" s="2" t="s">
        <v>477</v>
      </c>
      <c r="G156" s="2">
        <v>0</v>
      </c>
      <c r="H156" s="2">
        <v>0</v>
      </c>
      <c r="I156" s="1">
        <v>0</v>
      </c>
      <c r="J156" s="3" t="s">
        <v>447</v>
      </c>
      <c r="K156" s="2" t="str">
        <f>J156*1920.03</f>
        <v>0</v>
      </c>
      <c r="L156" s="5"/>
    </row>
    <row r="157" spans="1:12" customHeight="1" ht="105" outlineLevel="4">
      <c r="A157" s="1"/>
      <c r="B157" s="1">
        <v>929767</v>
      </c>
      <c r="C157" s="1" t="s">
        <v>478</v>
      </c>
      <c r="D157" s="1"/>
      <c r="E157" s="2" t="s">
        <v>479</v>
      </c>
      <c r="F157" s="2" t="s">
        <v>450</v>
      </c>
      <c r="G157" s="2" t="s">
        <v>136</v>
      </c>
      <c r="H157" s="2">
        <v>0</v>
      </c>
      <c r="I157" s="1">
        <v>0</v>
      </c>
      <c r="J157" s="3" t="s">
        <v>447</v>
      </c>
      <c r="K157" s="2" t="str">
        <f>J157*9.09</f>
        <v>0</v>
      </c>
      <c r="L157" s="5"/>
    </row>
    <row r="158" spans="1:12" customHeight="1" ht="105" outlineLevel="4">
      <c r="A158" s="1"/>
      <c r="B158" s="1">
        <v>929768</v>
      </c>
      <c r="C158" s="1" t="s">
        <v>480</v>
      </c>
      <c r="D158" s="1"/>
      <c r="E158" s="2" t="s">
        <v>481</v>
      </c>
      <c r="F158" s="2" t="s">
        <v>482</v>
      </c>
      <c r="G158" s="2" t="s">
        <v>58</v>
      </c>
      <c r="H158" s="2">
        <v>0</v>
      </c>
      <c r="I158" s="1">
        <v>0</v>
      </c>
      <c r="J158" s="3" t="s">
        <v>447</v>
      </c>
      <c r="K158" s="2" t="str">
        <f>J158*12.96</f>
        <v>0</v>
      </c>
      <c r="L158" s="5"/>
    </row>
    <row r="159" spans="1:12" customHeight="1" ht="105" outlineLevel="4">
      <c r="A159" s="1"/>
      <c r="B159" s="1">
        <v>929769</v>
      </c>
      <c r="C159" s="1" t="s">
        <v>483</v>
      </c>
      <c r="D159" s="1"/>
      <c r="E159" s="2" t="s">
        <v>484</v>
      </c>
      <c r="F159" s="2" t="s">
        <v>485</v>
      </c>
      <c r="G159" s="2" t="s">
        <v>58</v>
      </c>
      <c r="H159" s="2">
        <v>0</v>
      </c>
      <c r="I159" s="1">
        <v>0</v>
      </c>
      <c r="J159" s="3" t="s">
        <v>447</v>
      </c>
      <c r="K159" s="2" t="str">
        <f>J159*13.37</f>
        <v>0</v>
      </c>
      <c r="L159" s="5"/>
    </row>
    <row r="160" spans="1:12" customHeight="1" ht="105" outlineLevel="4">
      <c r="A160" s="1"/>
      <c r="B160" s="1">
        <v>929770</v>
      </c>
      <c r="C160" s="1" t="s">
        <v>486</v>
      </c>
      <c r="D160" s="1"/>
      <c r="E160" s="2" t="s">
        <v>487</v>
      </c>
      <c r="F160" s="2" t="s">
        <v>488</v>
      </c>
      <c r="G160" s="2" t="s">
        <v>74</v>
      </c>
      <c r="H160" s="2">
        <v>0</v>
      </c>
      <c r="I160" s="1">
        <v>0</v>
      </c>
      <c r="J160" s="3" t="s">
        <v>447</v>
      </c>
      <c r="K160" s="2" t="str">
        <f>J160*21.84</f>
        <v>0</v>
      </c>
      <c r="L160" s="5"/>
    </row>
    <row r="161" spans="1:12" customHeight="1" ht="105" outlineLevel="4">
      <c r="A161" s="1"/>
      <c r="B161" s="1">
        <v>929771</v>
      </c>
      <c r="C161" s="1" t="s">
        <v>489</v>
      </c>
      <c r="D161" s="1"/>
      <c r="E161" s="2" t="s">
        <v>490</v>
      </c>
      <c r="F161" s="2" t="s">
        <v>491</v>
      </c>
      <c r="G161" s="2" t="s">
        <v>58</v>
      </c>
      <c r="H161" s="2">
        <v>0</v>
      </c>
      <c r="I161" s="1">
        <v>0</v>
      </c>
      <c r="J161" s="3" t="s">
        <v>447</v>
      </c>
      <c r="K161" s="2" t="str">
        <f>J161*22.26</f>
        <v>0</v>
      </c>
      <c r="L161" s="5"/>
    </row>
    <row r="162" spans="1:12" customHeight="1" ht="105" outlineLevel="4">
      <c r="A162" s="1"/>
      <c r="B162" s="1">
        <v>929772</v>
      </c>
      <c r="C162" s="1" t="s">
        <v>492</v>
      </c>
      <c r="D162" s="1"/>
      <c r="E162" s="2" t="s">
        <v>493</v>
      </c>
      <c r="F162" s="2" t="s">
        <v>494</v>
      </c>
      <c r="G162" s="2" t="s">
        <v>153</v>
      </c>
      <c r="H162" s="2">
        <v>0</v>
      </c>
      <c r="I162" s="1" t="s">
        <v>74</v>
      </c>
      <c r="J162" s="3" t="s">
        <v>447</v>
      </c>
      <c r="K162" s="2" t="str">
        <f>J162*23.52</f>
        <v>0</v>
      </c>
      <c r="L162" s="5"/>
    </row>
    <row r="163" spans="1:12" customHeight="1" ht="105" outlineLevel="4">
      <c r="A163" s="1"/>
      <c r="B163" s="1">
        <v>929773</v>
      </c>
      <c r="C163" s="1" t="s">
        <v>495</v>
      </c>
      <c r="D163" s="1"/>
      <c r="E163" s="2" t="s">
        <v>496</v>
      </c>
      <c r="F163" s="2" t="s">
        <v>497</v>
      </c>
      <c r="G163" s="2" t="s">
        <v>152</v>
      </c>
      <c r="H163" s="2">
        <v>0</v>
      </c>
      <c r="I163" s="1">
        <v>0</v>
      </c>
      <c r="J163" s="3" t="s">
        <v>447</v>
      </c>
      <c r="K163" s="2" t="str">
        <f>J163*39.48</f>
        <v>0</v>
      </c>
      <c r="L163" s="5"/>
    </row>
    <row r="164" spans="1:12" customHeight="1" ht="105" outlineLevel="4">
      <c r="A164" s="1"/>
      <c r="B164" s="1">
        <v>929774</v>
      </c>
      <c r="C164" s="1" t="s">
        <v>498</v>
      </c>
      <c r="D164" s="1"/>
      <c r="E164" s="2" t="s">
        <v>499</v>
      </c>
      <c r="F164" s="2" t="s">
        <v>500</v>
      </c>
      <c r="G164" s="2" t="s">
        <v>152</v>
      </c>
      <c r="H164" s="2">
        <v>0</v>
      </c>
      <c r="I164" s="1">
        <v>0</v>
      </c>
      <c r="J164" s="3" t="s">
        <v>447</v>
      </c>
      <c r="K164" s="2" t="str">
        <f>J164*40.32</f>
        <v>0</v>
      </c>
      <c r="L164" s="5"/>
    </row>
    <row r="165" spans="1:12" customHeight="1" ht="105" outlineLevel="4">
      <c r="A165" s="1"/>
      <c r="B165" s="1">
        <v>929775</v>
      </c>
      <c r="C165" s="1" t="s">
        <v>501</v>
      </c>
      <c r="D165" s="1"/>
      <c r="E165" s="2" t="s">
        <v>502</v>
      </c>
      <c r="F165" s="2" t="s">
        <v>503</v>
      </c>
      <c r="G165" s="2" t="s">
        <v>152</v>
      </c>
      <c r="H165" s="2">
        <v>0</v>
      </c>
      <c r="I165" s="1">
        <v>0</v>
      </c>
      <c r="J165" s="3" t="s">
        <v>447</v>
      </c>
      <c r="K165" s="2" t="str">
        <f>J165*33.81</f>
        <v>0</v>
      </c>
      <c r="L165" s="5"/>
    </row>
    <row r="166" spans="1:12" customHeight="1" ht="105" outlineLevel="4">
      <c r="A166" s="1"/>
      <c r="B166" s="1">
        <v>929776</v>
      </c>
      <c r="C166" s="1" t="s">
        <v>504</v>
      </c>
      <c r="D166" s="1"/>
      <c r="E166" s="2" t="s">
        <v>505</v>
      </c>
      <c r="F166" s="2" t="s">
        <v>506</v>
      </c>
      <c r="G166" s="2" t="s">
        <v>152</v>
      </c>
      <c r="H166" s="2">
        <v>0</v>
      </c>
      <c r="I166" s="1">
        <v>0</v>
      </c>
      <c r="J166" s="3" t="s">
        <v>447</v>
      </c>
      <c r="K166" s="2" t="str">
        <f>J166*43.68</f>
        <v>0</v>
      </c>
      <c r="L166" s="5"/>
    </row>
    <row r="167" spans="1:12" customHeight="1" ht="105" outlineLevel="4">
      <c r="A167" s="1"/>
      <c r="B167" s="1">
        <v>929777</v>
      </c>
      <c r="C167" s="1" t="s">
        <v>507</v>
      </c>
      <c r="D167" s="1"/>
      <c r="E167" s="2" t="s">
        <v>508</v>
      </c>
      <c r="F167" s="2" t="s">
        <v>509</v>
      </c>
      <c r="G167" s="2" t="s">
        <v>153</v>
      </c>
      <c r="H167" s="2">
        <v>0</v>
      </c>
      <c r="I167" s="1">
        <v>0</v>
      </c>
      <c r="J167" s="3" t="s">
        <v>447</v>
      </c>
      <c r="K167" s="2" t="str">
        <f>J167*78.54</f>
        <v>0</v>
      </c>
      <c r="L167" s="5"/>
    </row>
    <row r="168" spans="1:12" customHeight="1" ht="105" outlineLevel="4">
      <c r="A168" s="1"/>
      <c r="B168" s="1">
        <v>929778</v>
      </c>
      <c r="C168" s="1" t="s">
        <v>510</v>
      </c>
      <c r="D168" s="1"/>
      <c r="E168" s="2" t="s">
        <v>511</v>
      </c>
      <c r="F168" s="2" t="s">
        <v>512</v>
      </c>
      <c r="G168" s="2" t="s">
        <v>153</v>
      </c>
      <c r="H168" s="2">
        <v>0</v>
      </c>
      <c r="I168" s="1">
        <v>0</v>
      </c>
      <c r="J168" s="3" t="s">
        <v>447</v>
      </c>
      <c r="K168" s="2" t="str">
        <f>J168*80.22</f>
        <v>0</v>
      </c>
      <c r="L168" s="5"/>
    </row>
    <row r="169" spans="1:12" customHeight="1" ht="105" outlineLevel="4">
      <c r="A169" s="1"/>
      <c r="B169" s="1">
        <v>929779</v>
      </c>
      <c r="C169" s="1" t="s">
        <v>513</v>
      </c>
      <c r="D169" s="1"/>
      <c r="E169" s="2" t="s">
        <v>514</v>
      </c>
      <c r="F169" s="2" t="s">
        <v>515</v>
      </c>
      <c r="G169" s="2" t="s">
        <v>153</v>
      </c>
      <c r="H169" s="2">
        <v>0</v>
      </c>
      <c r="I169" s="1">
        <v>0</v>
      </c>
      <c r="J169" s="3" t="s">
        <v>447</v>
      </c>
      <c r="K169" s="2" t="str">
        <f>J169*70.98</f>
        <v>0</v>
      </c>
      <c r="L169" s="5"/>
    </row>
    <row r="170" spans="1:12" customHeight="1" ht="105" outlineLevel="4">
      <c r="A170" s="1"/>
      <c r="B170" s="1">
        <v>929780</v>
      </c>
      <c r="C170" s="1" t="s">
        <v>516</v>
      </c>
      <c r="D170" s="1"/>
      <c r="E170" s="2" t="s">
        <v>517</v>
      </c>
      <c r="F170" s="2" t="s">
        <v>518</v>
      </c>
      <c r="G170" s="2" t="s">
        <v>153</v>
      </c>
      <c r="H170" s="2">
        <v>0</v>
      </c>
      <c r="I170" s="1">
        <v>0</v>
      </c>
      <c r="J170" s="3" t="s">
        <v>447</v>
      </c>
      <c r="K170" s="2" t="str">
        <f>J170*73.92</f>
        <v>0</v>
      </c>
      <c r="L170" s="5"/>
    </row>
    <row r="171" spans="1:12" customHeight="1" ht="105" outlineLevel="4">
      <c r="A171" s="1"/>
      <c r="B171" s="1">
        <v>929781</v>
      </c>
      <c r="C171" s="1" t="s">
        <v>519</v>
      </c>
      <c r="D171" s="1"/>
      <c r="E171" s="2" t="s">
        <v>520</v>
      </c>
      <c r="F171" s="2" t="s">
        <v>521</v>
      </c>
      <c r="G171" s="2" t="s">
        <v>153</v>
      </c>
      <c r="H171" s="2">
        <v>0</v>
      </c>
      <c r="I171" s="1">
        <v>0</v>
      </c>
      <c r="J171" s="3" t="s">
        <v>447</v>
      </c>
      <c r="K171" s="2" t="str">
        <f>J171*81.27</f>
        <v>0</v>
      </c>
      <c r="L171" s="5"/>
    </row>
    <row r="172" spans="1:12" customHeight="1" ht="105" outlineLevel="4">
      <c r="A172" s="1"/>
      <c r="B172" s="1">
        <v>929782</v>
      </c>
      <c r="C172" s="1" t="s">
        <v>522</v>
      </c>
      <c r="D172" s="1"/>
      <c r="E172" s="2" t="s">
        <v>523</v>
      </c>
      <c r="F172" s="2" t="s">
        <v>524</v>
      </c>
      <c r="G172" s="2">
        <v>0</v>
      </c>
      <c r="H172" s="2">
        <v>0</v>
      </c>
      <c r="I172" s="1">
        <v>0</v>
      </c>
      <c r="J172" s="3" t="s">
        <v>447</v>
      </c>
      <c r="K172" s="2" t="str">
        <f>J172*107.73</f>
        <v>0</v>
      </c>
      <c r="L172" s="5"/>
    </row>
    <row r="173" spans="1:12" customHeight="1" ht="105" outlineLevel="4">
      <c r="A173" s="1"/>
      <c r="B173" s="1">
        <v>929783</v>
      </c>
      <c r="C173" s="1" t="s">
        <v>525</v>
      </c>
      <c r="D173" s="1"/>
      <c r="E173" s="2" t="s">
        <v>526</v>
      </c>
      <c r="F173" s="2" t="s">
        <v>527</v>
      </c>
      <c r="G173" s="2">
        <v>0</v>
      </c>
      <c r="H173" s="2">
        <v>0</v>
      </c>
      <c r="I173" s="1">
        <v>0</v>
      </c>
      <c r="J173" s="3" t="s">
        <v>447</v>
      </c>
      <c r="K173" s="2" t="str">
        <f>J173*114.87</f>
        <v>0</v>
      </c>
      <c r="L173" s="5"/>
    </row>
    <row r="174" spans="1:12" customHeight="1" ht="105" outlineLevel="4">
      <c r="A174" s="1"/>
      <c r="B174" s="1">
        <v>929784</v>
      </c>
      <c r="C174" s="1" t="s">
        <v>528</v>
      </c>
      <c r="D174" s="1"/>
      <c r="E174" s="2" t="s">
        <v>529</v>
      </c>
      <c r="F174" s="2" t="s">
        <v>530</v>
      </c>
      <c r="G174" s="2">
        <v>0</v>
      </c>
      <c r="H174" s="2">
        <v>0</v>
      </c>
      <c r="I174" s="1">
        <v>0</v>
      </c>
      <c r="J174" s="3" t="s">
        <v>447</v>
      </c>
      <c r="K174" s="2" t="str">
        <f>J174*109.83</f>
        <v>0</v>
      </c>
      <c r="L174" s="5"/>
    </row>
    <row r="175" spans="1:12" customHeight="1" ht="105" outlineLevel="4">
      <c r="A175" s="1"/>
      <c r="B175" s="1">
        <v>929785</v>
      </c>
      <c r="C175" s="1" t="s">
        <v>531</v>
      </c>
      <c r="D175" s="1"/>
      <c r="E175" s="2" t="s">
        <v>532</v>
      </c>
      <c r="F175" s="2" t="s">
        <v>533</v>
      </c>
      <c r="G175" s="2">
        <v>0</v>
      </c>
      <c r="H175" s="2">
        <v>0</v>
      </c>
      <c r="I175" s="1">
        <v>0</v>
      </c>
      <c r="J175" s="3" t="s">
        <v>447</v>
      </c>
      <c r="K175" s="2" t="str">
        <f>J175*110.25</f>
        <v>0</v>
      </c>
      <c r="L175" s="5"/>
    </row>
    <row r="176" spans="1:12" customHeight="1" ht="105" outlineLevel="4">
      <c r="A176" s="1"/>
      <c r="B176" s="1">
        <v>929786</v>
      </c>
      <c r="C176" s="1" t="s">
        <v>534</v>
      </c>
      <c r="D176" s="1"/>
      <c r="E176" s="2" t="s">
        <v>535</v>
      </c>
      <c r="F176" s="2" t="s">
        <v>536</v>
      </c>
      <c r="G176" s="2">
        <v>0</v>
      </c>
      <c r="H176" s="2">
        <v>0</v>
      </c>
      <c r="I176" s="1">
        <v>0</v>
      </c>
      <c r="J176" s="3" t="s">
        <v>447</v>
      </c>
      <c r="K176" s="2" t="str">
        <f>J176*175.14</f>
        <v>0</v>
      </c>
      <c r="L176" s="5"/>
    </row>
    <row r="177" spans="1:12" customHeight="1" ht="105" outlineLevel="4">
      <c r="A177" s="1"/>
      <c r="B177" s="1">
        <v>929787</v>
      </c>
      <c r="C177" s="1" t="s">
        <v>537</v>
      </c>
      <c r="D177" s="1"/>
      <c r="E177" s="2" t="s">
        <v>538</v>
      </c>
      <c r="F177" s="2" t="s">
        <v>539</v>
      </c>
      <c r="G177" s="2">
        <v>0</v>
      </c>
      <c r="H177" s="2">
        <v>0</v>
      </c>
      <c r="I177" s="1">
        <v>0</v>
      </c>
      <c r="J177" s="3" t="s">
        <v>447</v>
      </c>
      <c r="K177" s="2" t="str">
        <f>J177*176.82</f>
        <v>0</v>
      </c>
      <c r="L177" s="5"/>
    </row>
    <row r="178" spans="1:12" customHeight="1" ht="105" outlineLevel="4">
      <c r="A178" s="1"/>
      <c r="B178" s="1">
        <v>929788</v>
      </c>
      <c r="C178" s="1" t="s">
        <v>540</v>
      </c>
      <c r="D178" s="1"/>
      <c r="E178" s="2" t="s">
        <v>541</v>
      </c>
      <c r="F178" s="2" t="s">
        <v>542</v>
      </c>
      <c r="G178" s="2">
        <v>0</v>
      </c>
      <c r="H178" s="2">
        <v>0</v>
      </c>
      <c r="I178" s="1">
        <v>0</v>
      </c>
      <c r="J178" s="3" t="s">
        <v>447</v>
      </c>
      <c r="K178" s="2" t="str">
        <f>J178*204.75</f>
        <v>0</v>
      </c>
      <c r="L178" s="5"/>
    </row>
    <row r="179" spans="1:12" customHeight="1" ht="105" outlineLevel="4">
      <c r="A179" s="1"/>
      <c r="B179" s="1">
        <v>929789</v>
      </c>
      <c r="C179" s="1" t="s">
        <v>543</v>
      </c>
      <c r="D179" s="1"/>
      <c r="E179" s="2" t="s">
        <v>544</v>
      </c>
      <c r="F179" s="2" t="s">
        <v>545</v>
      </c>
      <c r="G179" s="2">
        <v>0</v>
      </c>
      <c r="H179" s="2">
        <v>0</v>
      </c>
      <c r="I179" s="1">
        <v>0</v>
      </c>
      <c r="J179" s="3" t="s">
        <v>447</v>
      </c>
      <c r="K179" s="2" t="str">
        <f>J179*194.04</f>
        <v>0</v>
      </c>
      <c r="L179" s="5"/>
    </row>
    <row r="180" spans="1:12" customHeight="1" ht="105" outlineLevel="4">
      <c r="A180" s="1"/>
      <c r="B180" s="1">
        <v>929790</v>
      </c>
      <c r="C180" s="1" t="s">
        <v>546</v>
      </c>
      <c r="D180" s="1"/>
      <c r="E180" s="2" t="s">
        <v>547</v>
      </c>
      <c r="F180" s="2" t="s">
        <v>548</v>
      </c>
      <c r="G180" s="2">
        <v>0</v>
      </c>
      <c r="H180" s="2">
        <v>0</v>
      </c>
      <c r="I180" s="1">
        <v>0</v>
      </c>
      <c r="J180" s="3" t="s">
        <v>447</v>
      </c>
      <c r="K180" s="2" t="str">
        <f>J180*201.81</f>
        <v>0</v>
      </c>
      <c r="L180" s="5"/>
    </row>
    <row r="181" spans="1:12" customHeight="1" ht="105" outlineLevel="4">
      <c r="A181" s="1"/>
      <c r="B181" s="1">
        <v>929791</v>
      </c>
      <c r="C181" s="1" t="s">
        <v>549</v>
      </c>
      <c r="D181" s="1"/>
      <c r="E181" s="2" t="s">
        <v>550</v>
      </c>
      <c r="F181" s="2" t="s">
        <v>551</v>
      </c>
      <c r="G181" s="2">
        <v>0</v>
      </c>
      <c r="H181" s="2">
        <v>0</v>
      </c>
      <c r="I181" s="1">
        <v>0</v>
      </c>
      <c r="J181" s="3" t="s">
        <v>447</v>
      </c>
      <c r="K181" s="2" t="str">
        <f>J181*339.36</f>
        <v>0</v>
      </c>
      <c r="L181" s="5"/>
    </row>
    <row r="182" spans="1:12" customHeight="1" ht="105" outlineLevel="4">
      <c r="A182" s="1"/>
      <c r="B182" s="1">
        <v>929792</v>
      </c>
      <c r="C182" s="1" t="s">
        <v>552</v>
      </c>
      <c r="D182" s="1"/>
      <c r="E182" s="2" t="s">
        <v>553</v>
      </c>
      <c r="F182" s="2" t="s">
        <v>554</v>
      </c>
      <c r="G182" s="2">
        <v>0</v>
      </c>
      <c r="H182" s="2">
        <v>0</v>
      </c>
      <c r="I182" s="1">
        <v>0</v>
      </c>
      <c r="J182" s="3" t="s">
        <v>447</v>
      </c>
      <c r="K182" s="2" t="str">
        <f>J182*325.50</f>
        <v>0</v>
      </c>
      <c r="L182" s="5"/>
    </row>
    <row r="183" spans="1:12" customHeight="1" ht="105" outlineLevel="4">
      <c r="A183" s="1"/>
      <c r="B183" s="1">
        <v>929793</v>
      </c>
      <c r="C183" s="1" t="s">
        <v>555</v>
      </c>
      <c r="D183" s="1"/>
      <c r="E183" s="2" t="s">
        <v>556</v>
      </c>
      <c r="F183" s="2" t="s">
        <v>557</v>
      </c>
      <c r="G183" s="2">
        <v>0</v>
      </c>
      <c r="H183" s="2">
        <v>0</v>
      </c>
      <c r="I183" s="1">
        <v>0</v>
      </c>
      <c r="J183" s="3" t="s">
        <v>447</v>
      </c>
      <c r="K183" s="2" t="str">
        <f>J183*329.70</f>
        <v>0</v>
      </c>
      <c r="L183" s="5"/>
    </row>
    <row r="184" spans="1:12" customHeight="1" ht="105" outlineLevel="4">
      <c r="A184" s="1"/>
      <c r="B184" s="1">
        <v>929794</v>
      </c>
      <c r="C184" s="1" t="s">
        <v>558</v>
      </c>
      <c r="D184" s="1"/>
      <c r="E184" s="2" t="s">
        <v>559</v>
      </c>
      <c r="F184" s="2" t="s">
        <v>560</v>
      </c>
      <c r="G184" s="2">
        <v>0</v>
      </c>
      <c r="H184" s="2">
        <v>0</v>
      </c>
      <c r="I184" s="1">
        <v>0</v>
      </c>
      <c r="J184" s="3" t="s">
        <v>447</v>
      </c>
      <c r="K184" s="2" t="str">
        <f>J184*333.90</f>
        <v>0</v>
      </c>
      <c r="L184" s="5"/>
    </row>
    <row r="185" spans="1:12" customHeight="1" ht="105" outlineLevel="4">
      <c r="A185" s="1"/>
      <c r="B185" s="1">
        <v>929795</v>
      </c>
      <c r="C185" s="1" t="s">
        <v>561</v>
      </c>
      <c r="D185" s="1"/>
      <c r="E185" s="2" t="s">
        <v>562</v>
      </c>
      <c r="F185" s="2" t="s">
        <v>563</v>
      </c>
      <c r="G185" s="2">
        <v>0</v>
      </c>
      <c r="H185" s="2">
        <v>0</v>
      </c>
      <c r="I185" s="1">
        <v>0</v>
      </c>
      <c r="J185" s="3" t="s">
        <v>447</v>
      </c>
      <c r="K185" s="2" t="str">
        <f>J185*654.78</f>
        <v>0</v>
      </c>
      <c r="L185" s="5"/>
    </row>
    <row r="186" spans="1:12" customHeight="1" ht="105" outlineLevel="4">
      <c r="A186" s="1"/>
      <c r="B186" s="1">
        <v>929796</v>
      </c>
      <c r="C186" s="1" t="s">
        <v>564</v>
      </c>
      <c r="D186" s="1"/>
      <c r="E186" s="2" t="s">
        <v>565</v>
      </c>
      <c r="F186" s="2" t="s">
        <v>566</v>
      </c>
      <c r="G186" s="2">
        <v>0</v>
      </c>
      <c r="H186" s="2">
        <v>0</v>
      </c>
      <c r="I186" s="1">
        <v>0</v>
      </c>
      <c r="J186" s="3" t="s">
        <v>447</v>
      </c>
      <c r="K186" s="2" t="str">
        <f>J186*858.69</f>
        <v>0</v>
      </c>
      <c r="L186" s="5"/>
    </row>
    <row r="187" spans="1:12" customHeight="1" ht="105" outlineLevel="4">
      <c r="A187" s="1"/>
      <c r="B187" s="1">
        <v>929797</v>
      </c>
      <c r="C187" s="1" t="s">
        <v>567</v>
      </c>
      <c r="D187" s="1"/>
      <c r="E187" s="2" t="s">
        <v>568</v>
      </c>
      <c r="F187" s="2" t="s">
        <v>569</v>
      </c>
      <c r="G187" s="2" t="s">
        <v>136</v>
      </c>
      <c r="H187" s="2">
        <v>0</v>
      </c>
      <c r="I187" s="1">
        <v>0</v>
      </c>
      <c r="J187" s="3" t="s">
        <v>447</v>
      </c>
      <c r="K187" s="2" t="str">
        <f>J187*5.67</f>
        <v>0</v>
      </c>
      <c r="L187" s="5"/>
    </row>
    <row r="188" spans="1:12" customHeight="1" ht="105" outlineLevel="4">
      <c r="A188" s="1"/>
      <c r="B188" s="1">
        <v>929798</v>
      </c>
      <c r="C188" s="1" t="s">
        <v>570</v>
      </c>
      <c r="D188" s="1"/>
      <c r="E188" s="2" t="s">
        <v>571</v>
      </c>
      <c r="F188" s="2" t="s">
        <v>572</v>
      </c>
      <c r="G188" s="2" t="s">
        <v>58</v>
      </c>
      <c r="H188" s="2">
        <v>0</v>
      </c>
      <c r="I188" s="1">
        <v>0</v>
      </c>
      <c r="J188" s="3" t="s">
        <v>447</v>
      </c>
      <c r="K188" s="2" t="str">
        <f>J188*9.87</f>
        <v>0</v>
      </c>
      <c r="L188" s="5"/>
    </row>
    <row r="189" spans="1:12" customHeight="1" ht="105" outlineLevel="4">
      <c r="A189" s="1"/>
      <c r="B189" s="1">
        <v>929799</v>
      </c>
      <c r="C189" s="1" t="s">
        <v>573</v>
      </c>
      <c r="D189" s="1"/>
      <c r="E189" s="2" t="s">
        <v>574</v>
      </c>
      <c r="F189" s="2" t="s">
        <v>575</v>
      </c>
      <c r="G189" s="2" t="s">
        <v>58</v>
      </c>
      <c r="H189" s="2">
        <v>0</v>
      </c>
      <c r="I189" s="1">
        <v>0</v>
      </c>
      <c r="J189" s="3" t="s">
        <v>447</v>
      </c>
      <c r="K189" s="2" t="str">
        <f>J189*10.08</f>
        <v>0</v>
      </c>
      <c r="L189" s="5"/>
    </row>
    <row r="190" spans="1:12" customHeight="1" ht="105" outlineLevel="4">
      <c r="A190" s="1"/>
      <c r="B190" s="1">
        <v>929800</v>
      </c>
      <c r="C190" s="1" t="s">
        <v>576</v>
      </c>
      <c r="D190" s="1"/>
      <c r="E190" s="2" t="s">
        <v>577</v>
      </c>
      <c r="F190" s="2" t="s">
        <v>578</v>
      </c>
      <c r="G190" s="2" t="s">
        <v>152</v>
      </c>
      <c r="H190" s="2">
        <v>0</v>
      </c>
      <c r="I190" s="1">
        <v>0</v>
      </c>
      <c r="J190" s="3" t="s">
        <v>447</v>
      </c>
      <c r="K190" s="2" t="str">
        <f>J190*16.17</f>
        <v>0</v>
      </c>
      <c r="L190" s="5"/>
    </row>
    <row r="191" spans="1:12" customHeight="1" ht="105" outlineLevel="4">
      <c r="A191" s="1"/>
      <c r="B191" s="1">
        <v>929801</v>
      </c>
      <c r="C191" s="1" t="s">
        <v>579</v>
      </c>
      <c r="D191" s="1"/>
      <c r="E191" s="2" t="s">
        <v>580</v>
      </c>
      <c r="F191" s="2" t="s">
        <v>581</v>
      </c>
      <c r="G191" s="2" t="s">
        <v>152</v>
      </c>
      <c r="H191" s="2">
        <v>0</v>
      </c>
      <c r="I191" s="1">
        <v>0</v>
      </c>
      <c r="J191" s="3" t="s">
        <v>447</v>
      </c>
      <c r="K191" s="2" t="str">
        <f>J191*17.01</f>
        <v>0</v>
      </c>
      <c r="L191" s="5"/>
    </row>
    <row r="192" spans="1:12" customHeight="1" ht="105" outlineLevel="4">
      <c r="A192" s="1"/>
      <c r="B192" s="1">
        <v>929802</v>
      </c>
      <c r="C192" s="1" t="s">
        <v>582</v>
      </c>
      <c r="D192" s="1"/>
      <c r="E192" s="2" t="s">
        <v>583</v>
      </c>
      <c r="F192" s="2" t="s">
        <v>584</v>
      </c>
      <c r="G192" s="2" t="s">
        <v>74</v>
      </c>
      <c r="H192" s="2">
        <v>0</v>
      </c>
      <c r="I192" s="1">
        <v>0</v>
      </c>
      <c r="J192" s="3" t="s">
        <v>447</v>
      </c>
      <c r="K192" s="2" t="str">
        <f>J192*18.90</f>
        <v>0</v>
      </c>
      <c r="L192" s="5"/>
    </row>
    <row r="193" spans="1:12" customHeight="1" ht="105" outlineLevel="4">
      <c r="A193" s="1"/>
      <c r="B193" s="1">
        <v>929803</v>
      </c>
      <c r="C193" s="1" t="s">
        <v>585</v>
      </c>
      <c r="D193" s="1"/>
      <c r="E193" s="2" t="s">
        <v>586</v>
      </c>
      <c r="F193" s="2" t="s">
        <v>587</v>
      </c>
      <c r="G193" s="2" t="s">
        <v>153</v>
      </c>
      <c r="H193" s="2">
        <v>0</v>
      </c>
      <c r="I193" s="1">
        <v>0</v>
      </c>
      <c r="J193" s="3" t="s">
        <v>447</v>
      </c>
      <c r="K193" s="2" t="str">
        <f>J193*27.51</f>
        <v>0</v>
      </c>
      <c r="L193" s="5"/>
    </row>
    <row r="194" spans="1:12" customHeight="1" ht="105" outlineLevel="4">
      <c r="A194" s="1"/>
      <c r="B194" s="1">
        <v>929804</v>
      </c>
      <c r="C194" s="1" t="s">
        <v>588</v>
      </c>
      <c r="D194" s="1"/>
      <c r="E194" s="2" t="s">
        <v>589</v>
      </c>
      <c r="F194" s="2" t="s">
        <v>590</v>
      </c>
      <c r="G194" s="2" t="s">
        <v>153</v>
      </c>
      <c r="H194" s="2">
        <v>0</v>
      </c>
      <c r="I194" s="1">
        <v>0</v>
      </c>
      <c r="J194" s="3" t="s">
        <v>447</v>
      </c>
      <c r="K194" s="2" t="str">
        <f>J194*28.35</f>
        <v>0</v>
      </c>
      <c r="L194" s="5"/>
    </row>
    <row r="195" spans="1:12" customHeight="1" ht="105" outlineLevel="4">
      <c r="A195" s="1"/>
      <c r="B195" s="1">
        <v>929805</v>
      </c>
      <c r="C195" s="1" t="s">
        <v>591</v>
      </c>
      <c r="D195" s="1"/>
      <c r="E195" s="2" t="s">
        <v>592</v>
      </c>
      <c r="F195" s="2" t="s">
        <v>593</v>
      </c>
      <c r="G195" s="2" t="s">
        <v>153</v>
      </c>
      <c r="H195" s="2">
        <v>0</v>
      </c>
      <c r="I195" s="1">
        <v>0</v>
      </c>
      <c r="J195" s="3" t="s">
        <v>447</v>
      </c>
      <c r="K195" s="2" t="str">
        <f>J195*29.61</f>
        <v>0</v>
      </c>
      <c r="L195" s="5"/>
    </row>
    <row r="196" spans="1:12" customHeight="1" ht="105" outlineLevel="4">
      <c r="A196" s="1"/>
      <c r="B196" s="1">
        <v>929806</v>
      </c>
      <c r="C196" s="1" t="s">
        <v>594</v>
      </c>
      <c r="D196" s="1"/>
      <c r="E196" s="2" t="s">
        <v>595</v>
      </c>
      <c r="F196" s="2" t="s">
        <v>596</v>
      </c>
      <c r="G196" s="2" t="s">
        <v>153</v>
      </c>
      <c r="H196" s="2">
        <v>0</v>
      </c>
      <c r="I196" s="1">
        <v>0</v>
      </c>
      <c r="J196" s="3" t="s">
        <v>447</v>
      </c>
      <c r="K196" s="2" t="str">
        <f>J196*34.02</f>
        <v>0</v>
      </c>
      <c r="L196" s="5"/>
    </row>
    <row r="197" spans="1:12" customHeight="1" ht="105" outlineLevel="4">
      <c r="A197" s="1"/>
      <c r="B197" s="1">
        <v>929807</v>
      </c>
      <c r="C197" s="1" t="s">
        <v>597</v>
      </c>
      <c r="D197" s="1"/>
      <c r="E197" s="2" t="s">
        <v>598</v>
      </c>
      <c r="F197" s="2" t="s">
        <v>599</v>
      </c>
      <c r="G197" s="2" t="s">
        <v>153</v>
      </c>
      <c r="H197" s="2">
        <v>0</v>
      </c>
      <c r="I197" s="1">
        <v>0</v>
      </c>
      <c r="J197" s="3" t="s">
        <v>447</v>
      </c>
      <c r="K197" s="2" t="str">
        <f>J197*38.85</f>
        <v>0</v>
      </c>
      <c r="L197" s="5"/>
    </row>
    <row r="198" spans="1:12" customHeight="1" ht="105" outlineLevel="4">
      <c r="A198" s="1"/>
      <c r="B198" s="1">
        <v>929808</v>
      </c>
      <c r="C198" s="1" t="s">
        <v>600</v>
      </c>
      <c r="D198" s="1"/>
      <c r="E198" s="2" t="s">
        <v>601</v>
      </c>
      <c r="F198" s="2" t="s">
        <v>602</v>
      </c>
      <c r="G198" s="2" t="s">
        <v>152</v>
      </c>
      <c r="H198" s="2">
        <v>0</v>
      </c>
      <c r="I198" s="1">
        <v>0</v>
      </c>
      <c r="J198" s="3" t="s">
        <v>447</v>
      </c>
      <c r="K198" s="2" t="str">
        <f>J198*48.51</f>
        <v>0</v>
      </c>
      <c r="L198" s="5"/>
    </row>
    <row r="199" spans="1:12" customHeight="1" ht="105" outlineLevel="4">
      <c r="A199" s="1"/>
      <c r="B199" s="1">
        <v>929809</v>
      </c>
      <c r="C199" s="1" t="s">
        <v>603</v>
      </c>
      <c r="D199" s="1"/>
      <c r="E199" s="2" t="s">
        <v>604</v>
      </c>
      <c r="F199" s="2" t="s">
        <v>605</v>
      </c>
      <c r="G199" s="2">
        <v>6</v>
      </c>
      <c r="H199" s="2">
        <v>0</v>
      </c>
      <c r="I199" s="1">
        <v>0</v>
      </c>
      <c r="J199" s="3" t="s">
        <v>447</v>
      </c>
      <c r="K199" s="2" t="str">
        <f>J199*47.25</f>
        <v>0</v>
      </c>
      <c r="L199" s="5"/>
    </row>
    <row r="200" spans="1:12" customHeight="1" ht="105" outlineLevel="4">
      <c r="A200" s="1"/>
      <c r="B200" s="1">
        <v>929810</v>
      </c>
      <c r="C200" s="1" t="s">
        <v>606</v>
      </c>
      <c r="D200" s="1"/>
      <c r="E200" s="2" t="s">
        <v>607</v>
      </c>
      <c r="F200" s="2" t="s">
        <v>608</v>
      </c>
      <c r="G200" s="2">
        <v>0</v>
      </c>
      <c r="H200" s="2">
        <v>0</v>
      </c>
      <c r="I200" s="1">
        <v>0</v>
      </c>
      <c r="J200" s="3" t="s">
        <v>447</v>
      </c>
      <c r="K200" s="2" t="str">
        <f>J200*56.49</f>
        <v>0</v>
      </c>
      <c r="L200" s="5"/>
    </row>
    <row r="201" spans="1:12" customHeight="1" ht="105" outlineLevel="4">
      <c r="A201" s="1"/>
      <c r="B201" s="1">
        <v>929811</v>
      </c>
      <c r="C201" s="1" t="s">
        <v>609</v>
      </c>
      <c r="D201" s="1"/>
      <c r="E201" s="2" t="s">
        <v>610</v>
      </c>
      <c r="F201" s="2" t="s">
        <v>611</v>
      </c>
      <c r="G201" s="2">
        <v>0</v>
      </c>
      <c r="H201" s="2">
        <v>0</v>
      </c>
      <c r="I201" s="1">
        <v>0</v>
      </c>
      <c r="J201" s="3" t="s">
        <v>447</v>
      </c>
      <c r="K201" s="2" t="str">
        <f>J201*159.25</f>
        <v>0</v>
      </c>
      <c r="L201" s="5"/>
    </row>
    <row r="202" spans="1:12" customHeight="1" ht="105" outlineLevel="4">
      <c r="A202" s="1"/>
      <c r="B202" s="1">
        <v>929812</v>
      </c>
      <c r="C202" s="1" t="s">
        <v>612</v>
      </c>
      <c r="D202" s="1"/>
      <c r="E202" s="2" t="s">
        <v>613</v>
      </c>
      <c r="F202" s="2" t="s">
        <v>611</v>
      </c>
      <c r="G202" s="2">
        <v>0</v>
      </c>
      <c r="H202" s="2">
        <v>0</v>
      </c>
      <c r="I202" s="1">
        <v>0</v>
      </c>
      <c r="J202" s="3" t="s">
        <v>447</v>
      </c>
      <c r="K202" s="2" t="str">
        <f>J202*159.25</f>
        <v>0</v>
      </c>
      <c r="L202" s="5"/>
    </row>
    <row r="203" spans="1:12" customHeight="1" ht="105" outlineLevel="4">
      <c r="A203" s="1"/>
      <c r="B203" s="1">
        <v>929813</v>
      </c>
      <c r="C203" s="1" t="s">
        <v>614</v>
      </c>
      <c r="D203" s="1"/>
      <c r="E203" s="2" t="s">
        <v>615</v>
      </c>
      <c r="F203" s="2" t="s">
        <v>616</v>
      </c>
      <c r="G203" s="2">
        <v>0</v>
      </c>
      <c r="H203" s="2">
        <v>0</v>
      </c>
      <c r="I203" s="1">
        <v>0</v>
      </c>
      <c r="J203" s="3" t="s">
        <v>447</v>
      </c>
      <c r="K203" s="2" t="str">
        <f>J203*286.65</f>
        <v>0</v>
      </c>
      <c r="L203" s="5"/>
    </row>
    <row r="204" spans="1:12" customHeight="1" ht="105" outlineLevel="4">
      <c r="A204" s="1"/>
      <c r="B204" s="1">
        <v>929814</v>
      </c>
      <c r="C204" s="1" t="s">
        <v>617</v>
      </c>
      <c r="D204" s="1"/>
      <c r="E204" s="2" t="s">
        <v>618</v>
      </c>
      <c r="F204" s="2" t="s">
        <v>619</v>
      </c>
      <c r="G204" s="2">
        <v>0</v>
      </c>
      <c r="H204" s="2">
        <v>0</v>
      </c>
      <c r="I204" s="1">
        <v>0</v>
      </c>
      <c r="J204" s="3" t="s">
        <v>447</v>
      </c>
      <c r="K204" s="2" t="str">
        <f>J204*353.54</f>
        <v>0</v>
      </c>
      <c r="L204" s="5"/>
    </row>
    <row r="205" spans="1:12" customHeight="1" ht="105" outlineLevel="4">
      <c r="A205" s="1"/>
      <c r="B205" s="1">
        <v>929815</v>
      </c>
      <c r="C205" s="1" t="s">
        <v>620</v>
      </c>
      <c r="D205" s="1"/>
      <c r="E205" s="2" t="s">
        <v>621</v>
      </c>
      <c r="F205" s="2" t="s">
        <v>622</v>
      </c>
      <c r="G205" s="2">
        <v>0</v>
      </c>
      <c r="H205" s="2">
        <v>0</v>
      </c>
      <c r="I205" s="1">
        <v>0</v>
      </c>
      <c r="J205" s="3" t="s">
        <v>447</v>
      </c>
      <c r="K205" s="2" t="str">
        <f>J205*730.96</f>
        <v>0</v>
      </c>
      <c r="L205" s="5"/>
    </row>
    <row r="206" spans="1:12" customHeight="1" ht="105" outlineLevel="4">
      <c r="A206" s="1"/>
      <c r="B206" s="1">
        <v>929816</v>
      </c>
      <c r="C206" s="1" t="s">
        <v>623</v>
      </c>
      <c r="D206" s="1"/>
      <c r="E206" s="2" t="s">
        <v>624</v>
      </c>
      <c r="F206" s="2" t="s">
        <v>625</v>
      </c>
      <c r="G206" s="2" t="s">
        <v>152</v>
      </c>
      <c r="H206" s="2">
        <v>0</v>
      </c>
      <c r="I206" s="1">
        <v>0</v>
      </c>
      <c r="J206" s="3" t="s">
        <v>447</v>
      </c>
      <c r="K206" s="2" t="str">
        <f>J206*32.97</f>
        <v>0</v>
      </c>
      <c r="L206" s="5"/>
    </row>
    <row r="207" spans="1:12" customHeight="1" ht="105" outlineLevel="4">
      <c r="A207" s="1"/>
      <c r="B207" s="1">
        <v>929817</v>
      </c>
      <c r="C207" s="1" t="s">
        <v>626</v>
      </c>
      <c r="D207" s="1"/>
      <c r="E207" s="2" t="s">
        <v>627</v>
      </c>
      <c r="F207" s="2" t="s">
        <v>628</v>
      </c>
      <c r="G207" s="2">
        <v>9</v>
      </c>
      <c r="H207" s="2">
        <v>0</v>
      </c>
      <c r="I207" s="1">
        <v>0</v>
      </c>
      <c r="J207" s="3" t="s">
        <v>447</v>
      </c>
      <c r="K207" s="2" t="str">
        <f>J207*53.55</f>
        <v>0</v>
      </c>
      <c r="L207" s="5"/>
    </row>
    <row r="208" spans="1:12" customHeight="1" ht="105" outlineLevel="4">
      <c r="A208" s="1"/>
      <c r="B208" s="1">
        <v>929818</v>
      </c>
      <c r="C208" s="1" t="s">
        <v>629</v>
      </c>
      <c r="D208" s="1"/>
      <c r="E208" s="2" t="s">
        <v>630</v>
      </c>
      <c r="F208" s="2" t="s">
        <v>631</v>
      </c>
      <c r="G208" s="2" t="s">
        <v>153</v>
      </c>
      <c r="H208" s="2">
        <v>0</v>
      </c>
      <c r="I208" s="1">
        <v>0</v>
      </c>
      <c r="J208" s="3" t="s">
        <v>447</v>
      </c>
      <c r="K208" s="2" t="str">
        <f>J208*85.89</f>
        <v>0</v>
      </c>
      <c r="L208" s="5"/>
    </row>
    <row r="209" spans="1:12" customHeight="1" ht="105" outlineLevel="4">
      <c r="A209" s="1"/>
      <c r="B209" s="1">
        <v>929819</v>
      </c>
      <c r="C209" s="1" t="s">
        <v>632</v>
      </c>
      <c r="D209" s="1"/>
      <c r="E209" s="2" t="s">
        <v>633</v>
      </c>
      <c r="F209" s="2" t="s">
        <v>634</v>
      </c>
      <c r="G209" s="2">
        <v>0</v>
      </c>
      <c r="H209" s="2">
        <v>0</v>
      </c>
      <c r="I209" s="1">
        <v>0</v>
      </c>
      <c r="J209" s="3" t="s">
        <v>447</v>
      </c>
      <c r="K209" s="2" t="str">
        <f>J209*131.67</f>
        <v>0</v>
      </c>
      <c r="L209" s="5"/>
    </row>
    <row r="210" spans="1:12" customHeight="1" ht="105" outlineLevel="4">
      <c r="A210" s="1"/>
      <c r="B210" s="1">
        <v>929820</v>
      </c>
      <c r="C210" s="1" t="s">
        <v>635</v>
      </c>
      <c r="D210" s="1"/>
      <c r="E210" s="2" t="s">
        <v>636</v>
      </c>
      <c r="F210" s="2" t="s">
        <v>637</v>
      </c>
      <c r="G210" s="2" t="s">
        <v>153</v>
      </c>
      <c r="H210" s="2">
        <v>0</v>
      </c>
      <c r="I210" s="1">
        <v>0</v>
      </c>
      <c r="J210" s="3" t="s">
        <v>447</v>
      </c>
      <c r="K210" s="2" t="str">
        <f>J210*134.19</f>
        <v>0</v>
      </c>
      <c r="L210" s="5"/>
    </row>
    <row r="211" spans="1:12" customHeight="1" ht="105" outlineLevel="4">
      <c r="A211" s="1"/>
      <c r="B211" s="1">
        <v>929821</v>
      </c>
      <c r="C211" s="1" t="s">
        <v>638</v>
      </c>
      <c r="D211" s="1"/>
      <c r="E211" s="2" t="s">
        <v>639</v>
      </c>
      <c r="F211" s="2" t="s">
        <v>640</v>
      </c>
      <c r="G211" s="2">
        <v>7</v>
      </c>
      <c r="H211" s="2">
        <v>0</v>
      </c>
      <c r="I211" s="1">
        <v>0</v>
      </c>
      <c r="J211" s="3" t="s">
        <v>447</v>
      </c>
      <c r="K211" s="2" t="str">
        <f>J211*278.04</f>
        <v>0</v>
      </c>
      <c r="L211" s="5"/>
    </row>
    <row r="212" spans="1:12" customHeight="1" ht="105" outlineLevel="4">
      <c r="A212" s="1"/>
      <c r="B212" s="1">
        <v>929822</v>
      </c>
      <c r="C212" s="1" t="s">
        <v>641</v>
      </c>
      <c r="D212" s="1"/>
      <c r="E212" s="2" t="s">
        <v>642</v>
      </c>
      <c r="F212" s="2" t="s">
        <v>643</v>
      </c>
      <c r="G212" s="2">
        <v>8</v>
      </c>
      <c r="H212" s="2">
        <v>0</v>
      </c>
      <c r="I212" s="1">
        <v>0</v>
      </c>
      <c r="J212" s="3" t="s">
        <v>447</v>
      </c>
      <c r="K212" s="2" t="str">
        <f>J212*315.84</f>
        <v>0</v>
      </c>
      <c r="L212" s="5"/>
    </row>
    <row r="213" spans="1:12" customHeight="1" ht="105" outlineLevel="4">
      <c r="A213" s="1"/>
      <c r="B213" s="1">
        <v>929823</v>
      </c>
      <c r="C213" s="1" t="s">
        <v>644</v>
      </c>
      <c r="D213" s="1"/>
      <c r="E213" s="2" t="s">
        <v>645</v>
      </c>
      <c r="F213" s="2" t="s">
        <v>646</v>
      </c>
      <c r="G213" s="2" t="s">
        <v>58</v>
      </c>
      <c r="H213" s="2">
        <v>0</v>
      </c>
      <c r="I213" s="1" t="s">
        <v>58</v>
      </c>
      <c r="J213" s="3" t="s">
        <v>447</v>
      </c>
      <c r="K213" s="2" t="str">
        <f>J213*89.10</f>
        <v>0</v>
      </c>
      <c r="L213" s="5"/>
    </row>
    <row r="214" spans="1:12" customHeight="1" ht="105" outlineLevel="4">
      <c r="A214" s="1"/>
      <c r="B214" s="1">
        <v>929824</v>
      </c>
      <c r="C214" s="1" t="s">
        <v>647</v>
      </c>
      <c r="D214" s="1"/>
      <c r="E214" s="2" t="s">
        <v>648</v>
      </c>
      <c r="F214" s="2" t="s">
        <v>649</v>
      </c>
      <c r="G214" s="2" t="s">
        <v>58</v>
      </c>
      <c r="H214" s="2">
        <v>0</v>
      </c>
      <c r="I214" s="1">
        <v>0</v>
      </c>
      <c r="J214" s="3" t="s">
        <v>447</v>
      </c>
      <c r="K214" s="2" t="str">
        <f>J214*94.50</f>
        <v>0</v>
      </c>
      <c r="L214" s="5"/>
    </row>
    <row r="215" spans="1:12" customHeight="1" ht="105" outlineLevel="4">
      <c r="A215" s="1"/>
      <c r="B215" s="1">
        <v>929825</v>
      </c>
      <c r="C215" s="1" t="s">
        <v>650</v>
      </c>
      <c r="D215" s="1"/>
      <c r="E215" s="2" t="s">
        <v>651</v>
      </c>
      <c r="F215" s="2" t="s">
        <v>652</v>
      </c>
      <c r="G215" s="2" t="s">
        <v>58</v>
      </c>
      <c r="H215" s="2">
        <v>0</v>
      </c>
      <c r="I215" s="1">
        <v>0</v>
      </c>
      <c r="J215" s="3" t="s">
        <v>447</v>
      </c>
      <c r="K215" s="2" t="str">
        <f>J215*71.40</f>
        <v>0</v>
      </c>
      <c r="L215" s="5"/>
    </row>
    <row r="216" spans="1:12" customHeight="1" ht="105" outlineLevel="4">
      <c r="A216" s="1"/>
      <c r="B216" s="1">
        <v>929826</v>
      </c>
      <c r="C216" s="1" t="s">
        <v>653</v>
      </c>
      <c r="D216" s="1"/>
      <c r="E216" s="2" t="s">
        <v>654</v>
      </c>
      <c r="F216" s="2" t="s">
        <v>655</v>
      </c>
      <c r="G216" s="2" t="s">
        <v>58</v>
      </c>
      <c r="H216" s="2">
        <v>0</v>
      </c>
      <c r="I216" s="1" t="s">
        <v>58</v>
      </c>
      <c r="J216" s="3" t="s">
        <v>447</v>
      </c>
      <c r="K216" s="2" t="str">
        <f>J216*122.90</f>
        <v>0</v>
      </c>
      <c r="L216" s="5"/>
    </row>
    <row r="217" spans="1:12" customHeight="1" ht="105" outlineLevel="4">
      <c r="A217" s="1"/>
      <c r="B217" s="1">
        <v>929827</v>
      </c>
      <c r="C217" s="1" t="s">
        <v>656</v>
      </c>
      <c r="D217" s="1" t="s">
        <v>657</v>
      </c>
      <c r="E217" s="2" t="s">
        <v>658</v>
      </c>
      <c r="F217" s="2" t="s">
        <v>659</v>
      </c>
      <c r="G217" s="2" t="s">
        <v>58</v>
      </c>
      <c r="H217" s="2">
        <v>0</v>
      </c>
      <c r="I217" s="1">
        <v>0</v>
      </c>
      <c r="J217" s="3" t="s">
        <v>447</v>
      </c>
      <c r="K217" s="2" t="str">
        <f>J217*84.63</f>
        <v>0</v>
      </c>
      <c r="L217" s="5"/>
    </row>
    <row r="218" spans="1:12" customHeight="1" ht="105" outlineLevel="4">
      <c r="A218" s="1"/>
      <c r="B218" s="1">
        <v>929828</v>
      </c>
      <c r="C218" s="1" t="s">
        <v>660</v>
      </c>
      <c r="D218" s="1"/>
      <c r="E218" s="2" t="s">
        <v>661</v>
      </c>
      <c r="F218" s="2" t="s">
        <v>662</v>
      </c>
      <c r="G218" s="2" t="s">
        <v>74</v>
      </c>
      <c r="H218" s="2">
        <v>0</v>
      </c>
      <c r="I218" s="1">
        <v>0</v>
      </c>
      <c r="J218" s="3" t="s">
        <v>447</v>
      </c>
      <c r="K218" s="2" t="str">
        <f>J218*96.18</f>
        <v>0</v>
      </c>
      <c r="L218" s="5"/>
    </row>
    <row r="219" spans="1:12" customHeight="1" ht="105" outlineLevel="4">
      <c r="A219" s="1"/>
      <c r="B219" s="1">
        <v>929829</v>
      </c>
      <c r="C219" s="1" t="s">
        <v>663</v>
      </c>
      <c r="D219" s="1"/>
      <c r="E219" s="2" t="s">
        <v>664</v>
      </c>
      <c r="F219" s="2" t="s">
        <v>665</v>
      </c>
      <c r="G219" s="2" t="s">
        <v>58</v>
      </c>
      <c r="H219" s="2">
        <v>0</v>
      </c>
      <c r="I219" s="1">
        <v>0</v>
      </c>
      <c r="J219" s="3" t="s">
        <v>447</v>
      </c>
      <c r="K219" s="2" t="str">
        <f>J219*165.06</f>
        <v>0</v>
      </c>
      <c r="L219" s="5"/>
    </row>
    <row r="220" spans="1:12" customHeight="1" ht="105" outlineLevel="4">
      <c r="A220" s="1"/>
      <c r="B220" s="1">
        <v>929830</v>
      </c>
      <c r="C220" s="1" t="s">
        <v>666</v>
      </c>
      <c r="D220" s="1"/>
      <c r="E220" s="2" t="s">
        <v>667</v>
      </c>
      <c r="F220" s="2" t="s">
        <v>668</v>
      </c>
      <c r="G220" s="2">
        <v>-80</v>
      </c>
      <c r="H220" s="2">
        <v>0</v>
      </c>
      <c r="I220" s="1" t="s">
        <v>136</v>
      </c>
      <c r="J220" s="3" t="s">
        <v>447</v>
      </c>
      <c r="K220" s="2" t="str">
        <f>J220*116.10</f>
        <v>0</v>
      </c>
      <c r="L220" s="5"/>
    </row>
    <row r="221" spans="1:12" customHeight="1" ht="105" outlineLevel="4">
      <c r="A221" s="1"/>
      <c r="B221" s="1">
        <v>929831</v>
      </c>
      <c r="C221" s="1" t="s">
        <v>669</v>
      </c>
      <c r="D221" s="1"/>
      <c r="E221" s="2" t="s">
        <v>670</v>
      </c>
      <c r="F221" s="2" t="s">
        <v>671</v>
      </c>
      <c r="G221" s="2" t="s">
        <v>152</v>
      </c>
      <c r="H221" s="2">
        <v>0</v>
      </c>
      <c r="I221" s="1" t="s">
        <v>74</v>
      </c>
      <c r="J221" s="3" t="s">
        <v>447</v>
      </c>
      <c r="K221" s="2" t="str">
        <f>J221*116.55</f>
        <v>0</v>
      </c>
      <c r="L221" s="5"/>
    </row>
    <row r="222" spans="1:12" customHeight="1" ht="105" outlineLevel="4">
      <c r="A222" s="1"/>
      <c r="B222" s="1">
        <v>929832</v>
      </c>
      <c r="C222" s="1" t="s">
        <v>672</v>
      </c>
      <c r="D222" s="1"/>
      <c r="E222" s="2" t="s">
        <v>673</v>
      </c>
      <c r="F222" s="2" t="s">
        <v>674</v>
      </c>
      <c r="G222" s="2" t="s">
        <v>152</v>
      </c>
      <c r="H222" s="2">
        <v>0</v>
      </c>
      <c r="I222" s="1" t="s">
        <v>152</v>
      </c>
      <c r="J222" s="3" t="s">
        <v>447</v>
      </c>
      <c r="K222" s="2" t="str">
        <f>J222*84.21</f>
        <v>0</v>
      </c>
      <c r="L222" s="5"/>
    </row>
    <row r="223" spans="1:12" customHeight="1" ht="105" outlineLevel="4">
      <c r="A223" s="1"/>
      <c r="B223" s="1">
        <v>929833</v>
      </c>
      <c r="C223" s="1" t="s">
        <v>675</v>
      </c>
      <c r="D223" s="1"/>
      <c r="E223" s="2" t="s">
        <v>676</v>
      </c>
      <c r="F223" s="2" t="s">
        <v>677</v>
      </c>
      <c r="G223" s="2" t="s">
        <v>58</v>
      </c>
      <c r="H223" s="2">
        <v>0</v>
      </c>
      <c r="I223" s="1" t="s">
        <v>58</v>
      </c>
      <c r="J223" s="3" t="s">
        <v>447</v>
      </c>
      <c r="K223" s="2" t="str">
        <f>J223*156.77</f>
        <v>0</v>
      </c>
      <c r="L223" s="5"/>
    </row>
    <row r="224" spans="1:12" customHeight="1" ht="105" outlineLevel="4">
      <c r="A224" s="1"/>
      <c r="B224" s="1">
        <v>929834</v>
      </c>
      <c r="C224" s="1" t="s">
        <v>678</v>
      </c>
      <c r="D224" s="1" t="s">
        <v>679</v>
      </c>
      <c r="E224" s="2" t="s">
        <v>680</v>
      </c>
      <c r="F224" s="2" t="s">
        <v>407</v>
      </c>
      <c r="G224" s="2" t="s">
        <v>74</v>
      </c>
      <c r="H224" s="2">
        <v>0</v>
      </c>
      <c r="I224" s="1">
        <v>0</v>
      </c>
      <c r="J224" s="3" t="s">
        <v>447</v>
      </c>
      <c r="K224" s="2" t="str">
        <f>J224*115.50</f>
        <v>0</v>
      </c>
      <c r="L224" s="5"/>
    </row>
    <row r="225" spans="1:12" customHeight="1" ht="105" outlineLevel="4">
      <c r="A225" s="1"/>
      <c r="B225" s="1">
        <v>929835</v>
      </c>
      <c r="C225" s="1" t="s">
        <v>681</v>
      </c>
      <c r="D225" s="1"/>
      <c r="E225" s="2" t="s">
        <v>682</v>
      </c>
      <c r="F225" s="2" t="s">
        <v>683</v>
      </c>
      <c r="G225" s="2" t="s">
        <v>74</v>
      </c>
      <c r="H225" s="2">
        <v>0</v>
      </c>
      <c r="I225" s="1">
        <v>0</v>
      </c>
      <c r="J225" s="3" t="s">
        <v>447</v>
      </c>
      <c r="K225" s="2" t="str">
        <f>J225*133.35</f>
        <v>0</v>
      </c>
      <c r="L225" s="5"/>
    </row>
    <row r="226" spans="1:12" customHeight="1" ht="105" outlineLevel="4">
      <c r="A226" s="1"/>
      <c r="B226" s="1">
        <v>929836</v>
      </c>
      <c r="C226" s="1" t="s">
        <v>684</v>
      </c>
      <c r="D226" s="1"/>
      <c r="E226" s="2" t="s">
        <v>685</v>
      </c>
      <c r="F226" s="2" t="s">
        <v>686</v>
      </c>
      <c r="G226" s="2" t="s">
        <v>58</v>
      </c>
      <c r="H226" s="2">
        <v>0</v>
      </c>
      <c r="I226" s="1" t="s">
        <v>58</v>
      </c>
      <c r="J226" s="3" t="s">
        <v>447</v>
      </c>
      <c r="K226" s="2" t="str">
        <f>J226*203.70</f>
        <v>0</v>
      </c>
      <c r="L226" s="5"/>
    </row>
    <row r="227" spans="1:12" customHeight="1" ht="105" outlineLevel="4">
      <c r="A227" s="1"/>
      <c r="B227" s="1">
        <v>929837</v>
      </c>
      <c r="C227" s="1" t="s">
        <v>687</v>
      </c>
      <c r="D227" s="1"/>
      <c r="E227" s="2" t="s">
        <v>688</v>
      </c>
      <c r="F227" s="2" t="s">
        <v>689</v>
      </c>
      <c r="G227" s="2">
        <v>0</v>
      </c>
      <c r="H227" s="2">
        <v>0</v>
      </c>
      <c r="I227" s="1">
        <v>0</v>
      </c>
      <c r="J227" s="3" t="s">
        <v>447</v>
      </c>
      <c r="K227" s="2" t="str">
        <f>J227*412.46</f>
        <v>0</v>
      </c>
      <c r="L227" s="5"/>
    </row>
    <row r="228" spans="1:12" customHeight="1" ht="105" outlineLevel="4">
      <c r="A228" s="1"/>
      <c r="B228" s="1">
        <v>929838</v>
      </c>
      <c r="C228" s="1" t="s">
        <v>690</v>
      </c>
      <c r="D228" s="1"/>
      <c r="E228" s="2" t="s">
        <v>691</v>
      </c>
      <c r="F228" s="2" t="s">
        <v>692</v>
      </c>
      <c r="G228" s="2" t="s">
        <v>153</v>
      </c>
      <c r="H228" s="2">
        <v>0</v>
      </c>
      <c r="I228" s="1">
        <v>0</v>
      </c>
      <c r="J228" s="3" t="s">
        <v>447</v>
      </c>
      <c r="K228" s="2" t="str">
        <f>J228*582.86</f>
        <v>0</v>
      </c>
      <c r="L228" s="5"/>
    </row>
    <row r="229" spans="1:12" customHeight="1" ht="105" outlineLevel="4">
      <c r="A229" s="1"/>
      <c r="B229" s="1">
        <v>929839</v>
      </c>
      <c r="C229" s="1" t="s">
        <v>693</v>
      </c>
      <c r="D229" s="1"/>
      <c r="E229" s="2" t="s">
        <v>694</v>
      </c>
      <c r="F229" s="2" t="s">
        <v>695</v>
      </c>
      <c r="G229" s="2">
        <v>9</v>
      </c>
      <c r="H229" s="2">
        <v>0</v>
      </c>
      <c r="I229" s="1">
        <v>10</v>
      </c>
      <c r="J229" s="3" t="s">
        <v>447</v>
      </c>
      <c r="K229" s="2" t="str">
        <f>J229*431.76</f>
        <v>0</v>
      </c>
      <c r="L229" s="5"/>
    </row>
    <row r="230" spans="1:12" customHeight="1" ht="105" outlineLevel="4">
      <c r="A230" s="1"/>
      <c r="B230" s="1">
        <v>929840</v>
      </c>
      <c r="C230" s="1" t="s">
        <v>696</v>
      </c>
      <c r="D230" s="1"/>
      <c r="E230" s="2" t="s">
        <v>697</v>
      </c>
      <c r="F230" s="2" t="s">
        <v>698</v>
      </c>
      <c r="G230" s="2" t="s">
        <v>153</v>
      </c>
      <c r="H230" s="2">
        <v>0</v>
      </c>
      <c r="I230" s="1">
        <v>0</v>
      </c>
      <c r="J230" s="3" t="s">
        <v>447</v>
      </c>
      <c r="K230" s="2" t="str">
        <f>J230*587.16</f>
        <v>0</v>
      </c>
      <c r="L230" s="5"/>
    </row>
    <row r="231" spans="1:12" customHeight="1" ht="105" outlineLevel="4">
      <c r="A231" s="1"/>
      <c r="B231" s="1">
        <v>929841</v>
      </c>
      <c r="C231" s="1" t="s">
        <v>699</v>
      </c>
      <c r="D231" s="1"/>
      <c r="E231" s="2" t="s">
        <v>700</v>
      </c>
      <c r="F231" s="2" t="s">
        <v>701</v>
      </c>
      <c r="G231" s="2">
        <v>5</v>
      </c>
      <c r="H231" s="2">
        <v>0</v>
      </c>
      <c r="I231" s="1">
        <v>4</v>
      </c>
      <c r="J231" s="3" t="s">
        <v>447</v>
      </c>
      <c r="K231" s="2" t="str">
        <f>J231*878.85</f>
        <v>0</v>
      </c>
      <c r="L231" s="5"/>
    </row>
    <row r="232" spans="1:12" customHeight="1" ht="105" outlineLevel="4">
      <c r="A232" s="1"/>
      <c r="B232" s="1">
        <v>929842</v>
      </c>
      <c r="C232" s="1" t="s">
        <v>702</v>
      </c>
      <c r="D232" s="1"/>
      <c r="E232" s="2" t="s">
        <v>703</v>
      </c>
      <c r="F232" s="2" t="s">
        <v>704</v>
      </c>
      <c r="G232" s="2">
        <v>0</v>
      </c>
      <c r="H232" s="2">
        <v>0</v>
      </c>
      <c r="I232" s="1">
        <v>0</v>
      </c>
      <c r="J232" s="3" t="s">
        <v>447</v>
      </c>
      <c r="K232" s="2" t="str">
        <f>J232*1759.17</f>
        <v>0</v>
      </c>
      <c r="L232" s="5"/>
    </row>
    <row r="233" spans="1:12" customHeight="1" ht="105" outlineLevel="4">
      <c r="A233" s="1"/>
      <c r="B233" s="1">
        <v>929843</v>
      </c>
      <c r="C233" s="1" t="s">
        <v>705</v>
      </c>
      <c r="D233" s="1"/>
      <c r="E233" s="2" t="s">
        <v>706</v>
      </c>
      <c r="F233" s="2" t="s">
        <v>707</v>
      </c>
      <c r="G233" s="2">
        <v>0</v>
      </c>
      <c r="H233" s="2">
        <v>0</v>
      </c>
      <c r="I233" s="1">
        <v>0</v>
      </c>
      <c r="J233" s="3" t="s">
        <v>447</v>
      </c>
      <c r="K233" s="2" t="str">
        <f>J233*3248.70</f>
        <v>0</v>
      </c>
      <c r="L233" s="5"/>
    </row>
    <row r="234" spans="1:12" customHeight="1" ht="105" outlineLevel="4">
      <c r="A234" s="1"/>
      <c r="B234" s="1">
        <v>929844</v>
      </c>
      <c r="C234" s="1" t="s">
        <v>708</v>
      </c>
      <c r="D234" s="1"/>
      <c r="E234" s="2" t="s">
        <v>709</v>
      </c>
      <c r="F234" s="2" t="s">
        <v>710</v>
      </c>
      <c r="G234" s="2">
        <v>0</v>
      </c>
      <c r="H234" s="2">
        <v>0</v>
      </c>
      <c r="I234" s="1">
        <v>0</v>
      </c>
      <c r="J234" s="3" t="s">
        <v>447</v>
      </c>
      <c r="K234" s="2" t="str">
        <f>J234*4818.91</f>
        <v>0</v>
      </c>
      <c r="L234" s="5"/>
    </row>
    <row r="235" spans="1:12" customHeight="1" ht="105" outlineLevel="4">
      <c r="A235" s="1"/>
      <c r="B235" s="1">
        <v>929845</v>
      </c>
      <c r="C235" s="1" t="s">
        <v>711</v>
      </c>
      <c r="D235" s="1"/>
      <c r="E235" s="2" t="s">
        <v>712</v>
      </c>
      <c r="F235" s="2" t="s">
        <v>713</v>
      </c>
      <c r="G235" s="2">
        <v>0</v>
      </c>
      <c r="H235" s="2">
        <v>0</v>
      </c>
      <c r="I235" s="1">
        <v>0</v>
      </c>
      <c r="J235" s="3" t="s">
        <v>447</v>
      </c>
      <c r="K235" s="2" t="str">
        <f>J235*463.42</f>
        <v>0</v>
      </c>
      <c r="L235" s="5"/>
    </row>
    <row r="236" spans="1:12" customHeight="1" ht="105" outlineLevel="4">
      <c r="A236" s="1"/>
      <c r="B236" s="1">
        <v>929846</v>
      </c>
      <c r="C236" s="1" t="s">
        <v>714</v>
      </c>
      <c r="D236" s="1"/>
      <c r="E236" s="2" t="s">
        <v>715</v>
      </c>
      <c r="F236" s="2" t="s">
        <v>716</v>
      </c>
      <c r="G236" s="2" t="s">
        <v>153</v>
      </c>
      <c r="H236" s="2">
        <v>0</v>
      </c>
      <c r="I236" s="1">
        <v>0</v>
      </c>
      <c r="J236" s="3" t="s">
        <v>447</v>
      </c>
      <c r="K236" s="2" t="str">
        <f>J236*590.82</f>
        <v>0</v>
      </c>
      <c r="L236" s="5"/>
    </row>
    <row r="237" spans="1:12" customHeight="1" ht="105" outlineLevel="4">
      <c r="A237" s="1"/>
      <c r="B237" s="1">
        <v>929847</v>
      </c>
      <c r="C237" s="1" t="s">
        <v>717</v>
      </c>
      <c r="D237" s="1"/>
      <c r="E237" s="2" t="s">
        <v>718</v>
      </c>
      <c r="F237" s="2" t="s">
        <v>719</v>
      </c>
      <c r="G237" s="2" t="s">
        <v>153</v>
      </c>
      <c r="H237" s="2">
        <v>0</v>
      </c>
      <c r="I237" s="1">
        <v>0</v>
      </c>
      <c r="J237" s="3" t="s">
        <v>447</v>
      </c>
      <c r="K237" s="2" t="str">
        <f>J237*499.17</f>
        <v>0</v>
      </c>
      <c r="L237" s="5"/>
    </row>
    <row r="238" spans="1:12" customHeight="1" ht="105" outlineLevel="4">
      <c r="A238" s="1"/>
      <c r="B238" s="1">
        <v>929848</v>
      </c>
      <c r="C238" s="1" t="s">
        <v>720</v>
      </c>
      <c r="D238" s="1"/>
      <c r="E238" s="2" t="s">
        <v>721</v>
      </c>
      <c r="F238" s="2" t="s">
        <v>722</v>
      </c>
      <c r="G238" s="2" t="s">
        <v>153</v>
      </c>
      <c r="H238" s="2">
        <v>0</v>
      </c>
      <c r="I238" s="1">
        <v>0</v>
      </c>
      <c r="J238" s="3" t="s">
        <v>447</v>
      </c>
      <c r="K238" s="2" t="str">
        <f>J238*638.19</f>
        <v>0</v>
      </c>
      <c r="L238" s="5"/>
    </row>
    <row r="239" spans="1:12" customHeight="1" ht="105" outlineLevel="4">
      <c r="A239" s="1"/>
      <c r="B239" s="1">
        <v>929849</v>
      </c>
      <c r="C239" s="1" t="s">
        <v>723</v>
      </c>
      <c r="D239" s="1"/>
      <c r="E239" s="2" t="s">
        <v>724</v>
      </c>
      <c r="F239" s="2" t="s">
        <v>725</v>
      </c>
      <c r="G239" s="2" t="s">
        <v>153</v>
      </c>
      <c r="H239" s="2">
        <v>0</v>
      </c>
      <c r="I239" s="1">
        <v>0</v>
      </c>
      <c r="J239" s="3" t="s">
        <v>447</v>
      </c>
      <c r="K239" s="2" t="str">
        <f>J239*1213.17</f>
        <v>0</v>
      </c>
      <c r="L239" s="5"/>
    </row>
    <row r="240" spans="1:12" customHeight="1" ht="105" outlineLevel="4">
      <c r="A240" s="1"/>
      <c r="B240" s="1">
        <v>929850</v>
      </c>
      <c r="C240" s="1" t="s">
        <v>726</v>
      </c>
      <c r="D240" s="1"/>
      <c r="E240" s="2" t="s">
        <v>727</v>
      </c>
      <c r="F240" s="2" t="s">
        <v>728</v>
      </c>
      <c r="G240" s="2">
        <v>0</v>
      </c>
      <c r="H240" s="2">
        <v>0</v>
      </c>
      <c r="I240" s="1">
        <v>0</v>
      </c>
      <c r="J240" s="3" t="s">
        <v>447</v>
      </c>
      <c r="K240" s="2" t="str">
        <f>J240*2107.14</f>
        <v>0</v>
      </c>
      <c r="L240" s="5"/>
    </row>
    <row r="241" spans="1:12" customHeight="1" ht="105" outlineLevel="4">
      <c r="A241" s="1"/>
      <c r="B241" s="1">
        <v>929851</v>
      </c>
      <c r="C241" s="1" t="s">
        <v>729</v>
      </c>
      <c r="D241" s="1"/>
      <c r="E241" s="2" t="s">
        <v>730</v>
      </c>
      <c r="F241" s="2" t="s">
        <v>731</v>
      </c>
      <c r="G241" s="2">
        <v>0</v>
      </c>
      <c r="H241" s="2">
        <v>0</v>
      </c>
      <c r="I241" s="1">
        <v>0</v>
      </c>
      <c r="J241" s="3" t="s">
        <v>447</v>
      </c>
      <c r="K241" s="2" t="str">
        <f>J241*4398.49</f>
        <v>0</v>
      </c>
      <c r="L241" s="5"/>
    </row>
    <row r="242" spans="1:12" customHeight="1" ht="105" outlineLevel="4">
      <c r="A242" s="1"/>
      <c r="B242" s="1">
        <v>929852</v>
      </c>
      <c r="C242" s="1" t="s">
        <v>732</v>
      </c>
      <c r="D242" s="1"/>
      <c r="E242" s="2" t="s">
        <v>733</v>
      </c>
      <c r="F242" s="2" t="s">
        <v>734</v>
      </c>
      <c r="G242" s="2">
        <v>0</v>
      </c>
      <c r="H242" s="2">
        <v>0</v>
      </c>
      <c r="I242" s="1">
        <v>0</v>
      </c>
      <c r="J242" s="3" t="s">
        <v>447</v>
      </c>
      <c r="K242" s="2" t="str">
        <f>J242*6871.64</f>
        <v>0</v>
      </c>
      <c r="L242" s="5"/>
    </row>
    <row r="243" spans="1:12" customHeight="1" ht="105" outlineLevel="4">
      <c r="A243" s="1"/>
      <c r="B243" s="1">
        <v>929853</v>
      </c>
      <c r="C243" s="1" t="s">
        <v>735</v>
      </c>
      <c r="D243" s="1" t="s">
        <v>736</v>
      </c>
      <c r="E243" s="2" t="s">
        <v>737</v>
      </c>
      <c r="F243" s="2" t="s">
        <v>738</v>
      </c>
      <c r="G243" s="2" t="s">
        <v>58</v>
      </c>
      <c r="H243" s="2">
        <v>0</v>
      </c>
      <c r="I243" s="1">
        <v>0</v>
      </c>
      <c r="J243" s="3" t="s">
        <v>447</v>
      </c>
      <c r="K243" s="2" t="str">
        <f>J243*227.73</f>
        <v>0</v>
      </c>
      <c r="L243" s="5"/>
    </row>
    <row r="244" spans="1:12" customHeight="1" ht="105" outlineLevel="4">
      <c r="A244" s="1"/>
      <c r="B244" s="1">
        <v>929854</v>
      </c>
      <c r="C244" s="1" t="s">
        <v>739</v>
      </c>
      <c r="D244" s="1" t="s">
        <v>740</v>
      </c>
      <c r="E244" s="2" t="s">
        <v>741</v>
      </c>
      <c r="F244" s="2" t="s">
        <v>742</v>
      </c>
      <c r="G244" s="2" t="s">
        <v>152</v>
      </c>
      <c r="H244" s="2">
        <v>0</v>
      </c>
      <c r="I244" s="1" t="s">
        <v>153</v>
      </c>
      <c r="J244" s="3" t="s">
        <v>447</v>
      </c>
      <c r="K244" s="2" t="str">
        <f>J244*243.65</f>
        <v>0</v>
      </c>
      <c r="L244" s="5"/>
    </row>
    <row r="245" spans="1:12" customHeight="1" ht="105" outlineLevel="4">
      <c r="A245" s="1"/>
      <c r="B245" s="1">
        <v>929855</v>
      </c>
      <c r="C245" s="1" t="s">
        <v>743</v>
      </c>
      <c r="D245" s="1" t="s">
        <v>744</v>
      </c>
      <c r="E245" s="2" t="s">
        <v>745</v>
      </c>
      <c r="F245" s="2" t="s">
        <v>746</v>
      </c>
      <c r="G245" s="2" t="s">
        <v>152</v>
      </c>
      <c r="H245" s="2">
        <v>0</v>
      </c>
      <c r="I245" s="1">
        <v>0</v>
      </c>
      <c r="J245" s="3" t="s">
        <v>447</v>
      </c>
      <c r="K245" s="2" t="str">
        <f>J245*425.20</f>
        <v>0</v>
      </c>
      <c r="L245" s="5"/>
    </row>
    <row r="246" spans="1:12" customHeight="1" ht="105" outlineLevel="4">
      <c r="A246" s="1"/>
      <c r="B246" s="1">
        <v>929856</v>
      </c>
      <c r="C246" s="1" t="s">
        <v>747</v>
      </c>
      <c r="D246" s="1" t="s">
        <v>748</v>
      </c>
      <c r="E246" s="2" t="s">
        <v>749</v>
      </c>
      <c r="F246" s="2" t="s">
        <v>750</v>
      </c>
      <c r="G246" s="2" t="s">
        <v>152</v>
      </c>
      <c r="H246" s="2">
        <v>0</v>
      </c>
      <c r="I246" s="1">
        <v>0</v>
      </c>
      <c r="J246" s="3" t="s">
        <v>447</v>
      </c>
      <c r="K246" s="2" t="str">
        <f>J246*340.80</f>
        <v>0</v>
      </c>
      <c r="L246" s="5"/>
    </row>
    <row r="247" spans="1:12" customHeight="1" ht="105" outlineLevel="4">
      <c r="A247" s="1"/>
      <c r="B247" s="1">
        <v>929857</v>
      </c>
      <c r="C247" s="1" t="s">
        <v>751</v>
      </c>
      <c r="D247" s="1" t="s">
        <v>752</v>
      </c>
      <c r="E247" s="2" t="s">
        <v>753</v>
      </c>
      <c r="F247" s="2" t="s">
        <v>754</v>
      </c>
      <c r="G247" s="2" t="s">
        <v>74</v>
      </c>
      <c r="H247" s="2">
        <v>0</v>
      </c>
      <c r="I247" s="1">
        <v>0</v>
      </c>
      <c r="J247" s="3" t="s">
        <v>447</v>
      </c>
      <c r="K247" s="2" t="str">
        <f>J247*348.76</f>
        <v>0</v>
      </c>
      <c r="L247" s="5"/>
    </row>
    <row r="248" spans="1:12" customHeight="1" ht="105" outlineLevel="4">
      <c r="A248" s="1"/>
      <c r="B248" s="1">
        <v>929858</v>
      </c>
      <c r="C248" s="1" t="s">
        <v>755</v>
      </c>
      <c r="D248" s="1" t="s">
        <v>756</v>
      </c>
      <c r="E248" s="2" t="s">
        <v>757</v>
      </c>
      <c r="F248" s="2" t="s">
        <v>758</v>
      </c>
      <c r="G248" s="2" t="s">
        <v>152</v>
      </c>
      <c r="H248" s="2">
        <v>0</v>
      </c>
      <c r="I248" s="1">
        <v>0</v>
      </c>
      <c r="J248" s="3" t="s">
        <v>447</v>
      </c>
      <c r="K248" s="2" t="str">
        <f>J248*313.72</f>
        <v>0</v>
      </c>
      <c r="L248" s="5"/>
    </row>
    <row r="249" spans="1:12" customHeight="1" ht="105" outlineLevel="4">
      <c r="A249" s="1"/>
      <c r="B249" s="1">
        <v>929859</v>
      </c>
      <c r="C249" s="1" t="s">
        <v>759</v>
      </c>
      <c r="D249" s="1" t="s">
        <v>760</v>
      </c>
      <c r="E249" s="2" t="s">
        <v>761</v>
      </c>
      <c r="F249" s="2" t="s">
        <v>762</v>
      </c>
      <c r="G249" s="2" t="s">
        <v>74</v>
      </c>
      <c r="H249" s="2">
        <v>0</v>
      </c>
      <c r="I249" s="1">
        <v>0</v>
      </c>
      <c r="J249" s="3" t="s">
        <v>447</v>
      </c>
      <c r="K249" s="2" t="str">
        <f>J249*399.72</f>
        <v>0</v>
      </c>
      <c r="L249" s="5"/>
    </row>
    <row r="250" spans="1:12" customHeight="1" ht="105" outlineLevel="4">
      <c r="A250" s="1"/>
      <c r="B250" s="1">
        <v>929860</v>
      </c>
      <c r="C250" s="1" t="s">
        <v>763</v>
      </c>
      <c r="D250" s="1" t="s">
        <v>764</v>
      </c>
      <c r="E250" s="2" t="s">
        <v>765</v>
      </c>
      <c r="F250" s="2" t="s">
        <v>766</v>
      </c>
      <c r="G250" s="2" t="s">
        <v>74</v>
      </c>
      <c r="H250" s="2">
        <v>0</v>
      </c>
      <c r="I250" s="1">
        <v>0</v>
      </c>
      <c r="J250" s="3" t="s">
        <v>447</v>
      </c>
      <c r="K250" s="2" t="str">
        <f>J250*434.75</f>
        <v>0</v>
      </c>
      <c r="L250" s="5"/>
    </row>
    <row r="251" spans="1:12" customHeight="1" ht="105" outlineLevel="4">
      <c r="A251" s="1"/>
      <c r="B251" s="1">
        <v>929861</v>
      </c>
      <c r="C251" s="1" t="s">
        <v>767</v>
      </c>
      <c r="D251" s="1" t="s">
        <v>768</v>
      </c>
      <c r="E251" s="2" t="s">
        <v>769</v>
      </c>
      <c r="F251" s="2" t="s">
        <v>770</v>
      </c>
      <c r="G251" s="2" t="s">
        <v>153</v>
      </c>
      <c r="H251" s="2">
        <v>0</v>
      </c>
      <c r="I251" s="1">
        <v>0</v>
      </c>
      <c r="J251" s="3" t="s">
        <v>447</v>
      </c>
      <c r="K251" s="2" t="str">
        <f>J251*452.27</f>
        <v>0</v>
      </c>
      <c r="L251" s="5"/>
    </row>
    <row r="252" spans="1:12" customHeight="1" ht="105" outlineLevel="4">
      <c r="A252" s="1"/>
      <c r="B252" s="1">
        <v>929862</v>
      </c>
      <c r="C252" s="1" t="s">
        <v>771</v>
      </c>
      <c r="D252" s="1" t="s">
        <v>772</v>
      </c>
      <c r="E252" s="2" t="s">
        <v>773</v>
      </c>
      <c r="F252" s="2" t="s">
        <v>774</v>
      </c>
      <c r="G252" s="2" t="s">
        <v>153</v>
      </c>
      <c r="H252" s="2">
        <v>0</v>
      </c>
      <c r="I252" s="1">
        <v>0</v>
      </c>
      <c r="J252" s="3" t="s">
        <v>447</v>
      </c>
      <c r="K252" s="2" t="str">
        <f>J252*687.96</f>
        <v>0</v>
      </c>
      <c r="L252" s="5"/>
    </row>
    <row r="253" spans="1:12" customHeight="1" ht="105" outlineLevel="4">
      <c r="A253" s="1"/>
      <c r="B253" s="1">
        <v>929863</v>
      </c>
      <c r="C253" s="1" t="s">
        <v>775</v>
      </c>
      <c r="D253" s="1" t="s">
        <v>776</v>
      </c>
      <c r="E253" s="2" t="s">
        <v>777</v>
      </c>
      <c r="F253" s="2" t="s">
        <v>778</v>
      </c>
      <c r="G253" s="2" t="s">
        <v>153</v>
      </c>
      <c r="H253" s="2">
        <v>0</v>
      </c>
      <c r="I253" s="1">
        <v>0</v>
      </c>
      <c r="J253" s="3" t="s">
        <v>447</v>
      </c>
      <c r="K253" s="2" t="str">
        <f>J253*1307.44</f>
        <v>0</v>
      </c>
      <c r="L253" s="5"/>
    </row>
    <row r="254" spans="1:12" customHeight="1" ht="105" outlineLevel="4">
      <c r="A254" s="1"/>
      <c r="B254" s="1">
        <v>929864</v>
      </c>
      <c r="C254" s="1" t="s">
        <v>779</v>
      </c>
      <c r="D254" s="1" t="s">
        <v>780</v>
      </c>
      <c r="E254" s="2" t="s">
        <v>781</v>
      </c>
      <c r="F254" s="2" t="s">
        <v>782</v>
      </c>
      <c r="G254" s="2">
        <v>9</v>
      </c>
      <c r="H254" s="2">
        <v>0</v>
      </c>
      <c r="I254" s="1">
        <v>0</v>
      </c>
      <c r="J254" s="3" t="s">
        <v>447</v>
      </c>
      <c r="K254" s="2" t="str">
        <f>J254*2084.58</f>
        <v>0</v>
      </c>
      <c r="L254" s="5"/>
    </row>
    <row r="255" spans="1:12" customHeight="1" ht="105" outlineLevel="4">
      <c r="A255" s="1"/>
      <c r="B255" s="1">
        <v>929865</v>
      </c>
      <c r="C255" s="1" t="s">
        <v>783</v>
      </c>
      <c r="D255" s="1" t="s">
        <v>784</v>
      </c>
      <c r="E255" s="2" t="s">
        <v>785</v>
      </c>
      <c r="F255" s="2" t="s">
        <v>786</v>
      </c>
      <c r="G255" s="2">
        <v>1</v>
      </c>
      <c r="H255" s="2">
        <v>0</v>
      </c>
      <c r="I255" s="1">
        <v>0</v>
      </c>
      <c r="J255" s="3" t="s">
        <v>447</v>
      </c>
      <c r="K255" s="2" t="str">
        <f>J255*4646.92</f>
        <v>0</v>
      </c>
      <c r="L255" s="5"/>
    </row>
    <row r="256" spans="1:12" customHeight="1" ht="105" outlineLevel="4">
      <c r="A256" s="1"/>
      <c r="B256" s="1">
        <v>929866</v>
      </c>
      <c r="C256" s="1" t="s">
        <v>787</v>
      </c>
      <c r="D256" s="1" t="s">
        <v>788</v>
      </c>
      <c r="E256" s="2" t="s">
        <v>789</v>
      </c>
      <c r="F256" s="2" t="s">
        <v>790</v>
      </c>
      <c r="G256" s="2" t="s">
        <v>58</v>
      </c>
      <c r="H256" s="2">
        <v>0</v>
      </c>
      <c r="I256" s="1">
        <v>0</v>
      </c>
      <c r="J256" s="3" t="s">
        <v>447</v>
      </c>
      <c r="K256" s="2" t="str">
        <f>J256*235.69</f>
        <v>0</v>
      </c>
      <c r="L256" s="5"/>
    </row>
    <row r="257" spans="1:12" customHeight="1" ht="105" outlineLevel="4">
      <c r="A257" s="1"/>
      <c r="B257" s="1">
        <v>929867</v>
      </c>
      <c r="C257" s="1" t="s">
        <v>791</v>
      </c>
      <c r="D257" s="1" t="s">
        <v>792</v>
      </c>
      <c r="E257" s="2" t="s">
        <v>793</v>
      </c>
      <c r="F257" s="2" t="s">
        <v>794</v>
      </c>
      <c r="G257" s="2" t="s">
        <v>152</v>
      </c>
      <c r="H257" s="2">
        <v>0</v>
      </c>
      <c r="I257" s="1">
        <v>0</v>
      </c>
      <c r="J257" s="3" t="s">
        <v>447</v>
      </c>
      <c r="K257" s="2" t="str">
        <f>J257*242.06</f>
        <v>0</v>
      </c>
      <c r="L257" s="5"/>
    </row>
    <row r="258" spans="1:12" customHeight="1" ht="105" outlineLevel="4">
      <c r="A258" s="1"/>
      <c r="B258" s="1">
        <v>929868</v>
      </c>
      <c r="C258" s="1" t="s">
        <v>795</v>
      </c>
      <c r="D258" s="1" t="s">
        <v>796</v>
      </c>
      <c r="E258" s="2" t="s">
        <v>797</v>
      </c>
      <c r="F258" s="2" t="s">
        <v>798</v>
      </c>
      <c r="G258" s="2" t="s">
        <v>152</v>
      </c>
      <c r="H258" s="2">
        <v>0</v>
      </c>
      <c r="I258" s="1">
        <v>0</v>
      </c>
      <c r="J258" s="3" t="s">
        <v>447</v>
      </c>
      <c r="K258" s="2" t="str">
        <f>J258*429.98</f>
        <v>0</v>
      </c>
      <c r="L258" s="5"/>
    </row>
    <row r="259" spans="1:12" customHeight="1" ht="105" outlineLevel="4">
      <c r="A259" s="1"/>
      <c r="B259" s="1">
        <v>929869</v>
      </c>
      <c r="C259" s="1" t="s">
        <v>799</v>
      </c>
      <c r="D259" s="1" t="s">
        <v>800</v>
      </c>
      <c r="E259" s="2" t="s">
        <v>801</v>
      </c>
      <c r="F259" s="2" t="s">
        <v>802</v>
      </c>
      <c r="G259" s="2" t="s">
        <v>152</v>
      </c>
      <c r="H259" s="2">
        <v>0</v>
      </c>
      <c r="I259" s="1">
        <v>0</v>
      </c>
      <c r="J259" s="3" t="s">
        <v>447</v>
      </c>
      <c r="K259" s="2" t="str">
        <f>J259*336.02</f>
        <v>0</v>
      </c>
      <c r="L259" s="5"/>
    </row>
    <row r="260" spans="1:12" customHeight="1" ht="105" outlineLevel="4">
      <c r="A260" s="1"/>
      <c r="B260" s="1">
        <v>929870</v>
      </c>
      <c r="C260" s="1" t="s">
        <v>803</v>
      </c>
      <c r="D260" s="1" t="s">
        <v>804</v>
      </c>
      <c r="E260" s="2" t="s">
        <v>805</v>
      </c>
      <c r="F260" s="2" t="s">
        <v>806</v>
      </c>
      <c r="G260" s="2" t="s">
        <v>152</v>
      </c>
      <c r="H260" s="2">
        <v>0</v>
      </c>
      <c r="I260" s="1" t="s">
        <v>74</v>
      </c>
      <c r="J260" s="3" t="s">
        <v>447</v>
      </c>
      <c r="K260" s="2" t="str">
        <f>J260*377.42</f>
        <v>0</v>
      </c>
      <c r="L260" s="5"/>
    </row>
    <row r="261" spans="1:12" customHeight="1" ht="105" outlineLevel="4">
      <c r="A261" s="1"/>
      <c r="B261" s="1">
        <v>929871</v>
      </c>
      <c r="C261" s="1" t="s">
        <v>807</v>
      </c>
      <c r="D261" s="1" t="s">
        <v>808</v>
      </c>
      <c r="E261" s="2" t="s">
        <v>809</v>
      </c>
      <c r="F261" s="2" t="s">
        <v>810</v>
      </c>
      <c r="G261" s="2" t="s">
        <v>152</v>
      </c>
      <c r="H261" s="2">
        <v>0</v>
      </c>
      <c r="I261" s="1">
        <v>0</v>
      </c>
      <c r="J261" s="3" t="s">
        <v>447</v>
      </c>
      <c r="K261" s="2" t="str">
        <f>J261*385.39</f>
        <v>0</v>
      </c>
      <c r="L261" s="5"/>
    </row>
    <row r="262" spans="1:12" customHeight="1" ht="105" outlineLevel="4">
      <c r="A262" s="1"/>
      <c r="B262" s="1">
        <v>929872</v>
      </c>
      <c r="C262" s="1" t="s">
        <v>811</v>
      </c>
      <c r="D262" s="1" t="s">
        <v>812</v>
      </c>
      <c r="E262" s="2" t="s">
        <v>813</v>
      </c>
      <c r="F262" s="2" t="s">
        <v>814</v>
      </c>
      <c r="G262" s="2" t="s">
        <v>152</v>
      </c>
      <c r="H262" s="2">
        <v>0</v>
      </c>
      <c r="I262" s="1">
        <v>0</v>
      </c>
      <c r="J262" s="3" t="s">
        <v>447</v>
      </c>
      <c r="K262" s="2" t="str">
        <f>J262*460.23</f>
        <v>0</v>
      </c>
      <c r="L262" s="5"/>
    </row>
    <row r="263" spans="1:12" customHeight="1" ht="105" outlineLevel="4">
      <c r="A263" s="1"/>
      <c r="B263" s="1">
        <v>929873</v>
      </c>
      <c r="C263" s="1" t="s">
        <v>815</v>
      </c>
      <c r="D263" s="1" t="s">
        <v>816</v>
      </c>
      <c r="E263" s="2" t="s">
        <v>817</v>
      </c>
      <c r="F263" s="2" t="s">
        <v>818</v>
      </c>
      <c r="G263" s="2" t="s">
        <v>152</v>
      </c>
      <c r="H263" s="2">
        <v>0</v>
      </c>
      <c r="I263" s="1" t="s">
        <v>152</v>
      </c>
      <c r="J263" s="3" t="s">
        <v>447</v>
      </c>
      <c r="K263" s="2" t="str">
        <f>J263*445.90</f>
        <v>0</v>
      </c>
      <c r="L263" s="5"/>
    </row>
    <row r="264" spans="1:12" customHeight="1" ht="105" outlineLevel="4">
      <c r="A264" s="1"/>
      <c r="B264" s="1">
        <v>929874</v>
      </c>
      <c r="C264" s="1" t="s">
        <v>819</v>
      </c>
      <c r="D264" s="1" t="s">
        <v>820</v>
      </c>
      <c r="E264" s="2" t="s">
        <v>821</v>
      </c>
      <c r="F264" s="2" t="s">
        <v>716</v>
      </c>
      <c r="G264" s="2" t="s">
        <v>152</v>
      </c>
      <c r="H264" s="2">
        <v>0</v>
      </c>
      <c r="I264" s="1">
        <v>0</v>
      </c>
      <c r="J264" s="3" t="s">
        <v>447</v>
      </c>
      <c r="K264" s="2" t="str">
        <f>J264*590.82</f>
        <v>0</v>
      </c>
      <c r="L264" s="5"/>
    </row>
    <row r="265" spans="1:12" customHeight="1" ht="105" outlineLevel="4">
      <c r="A265" s="1"/>
      <c r="B265" s="1">
        <v>929875</v>
      </c>
      <c r="C265" s="1" t="s">
        <v>822</v>
      </c>
      <c r="D265" s="1" t="s">
        <v>823</v>
      </c>
      <c r="E265" s="2" t="s">
        <v>824</v>
      </c>
      <c r="F265" s="2" t="s">
        <v>825</v>
      </c>
      <c r="G265" s="2" t="s">
        <v>153</v>
      </c>
      <c r="H265" s="2">
        <v>0</v>
      </c>
      <c r="I265" s="1">
        <v>5</v>
      </c>
      <c r="J265" s="3" t="s">
        <v>447</v>
      </c>
      <c r="K265" s="2" t="str">
        <f>J265*777.14</f>
        <v>0</v>
      </c>
      <c r="L265" s="5"/>
    </row>
    <row r="266" spans="1:12" customHeight="1" ht="105" outlineLevel="4">
      <c r="A266" s="1"/>
      <c r="B266" s="1">
        <v>929876</v>
      </c>
      <c r="C266" s="1" t="s">
        <v>826</v>
      </c>
      <c r="D266" s="1" t="s">
        <v>827</v>
      </c>
      <c r="E266" s="2" t="s">
        <v>828</v>
      </c>
      <c r="F266" s="2" t="s">
        <v>829</v>
      </c>
      <c r="G266" s="2" t="s">
        <v>153</v>
      </c>
      <c r="H266" s="2">
        <v>0</v>
      </c>
      <c r="I266" s="1">
        <v>0</v>
      </c>
      <c r="J266" s="3" t="s">
        <v>447</v>
      </c>
      <c r="K266" s="2" t="str">
        <f>J266*1441.21</f>
        <v>0</v>
      </c>
      <c r="L266" s="5"/>
    </row>
    <row r="267" spans="1:12" customHeight="1" ht="105" outlineLevel="4">
      <c r="A267" s="1"/>
      <c r="B267" s="1">
        <v>929877</v>
      </c>
      <c r="C267" s="1" t="s">
        <v>830</v>
      </c>
      <c r="D267" s="1" t="s">
        <v>831</v>
      </c>
      <c r="E267" s="2" t="s">
        <v>832</v>
      </c>
      <c r="F267" s="2" t="s">
        <v>833</v>
      </c>
      <c r="G267" s="2" t="s">
        <v>153</v>
      </c>
      <c r="H267" s="2">
        <v>0</v>
      </c>
      <c r="I267" s="1">
        <v>0</v>
      </c>
      <c r="J267" s="3" t="s">
        <v>447</v>
      </c>
      <c r="K267" s="2" t="str">
        <f>J267*2302.76</f>
        <v>0</v>
      </c>
      <c r="L267" s="5"/>
    </row>
    <row r="268" spans="1:12" customHeight="1" ht="105" outlineLevel="4">
      <c r="A268" s="1"/>
      <c r="B268" s="1">
        <v>929878</v>
      </c>
      <c r="C268" s="1" t="s">
        <v>834</v>
      </c>
      <c r="D268" s="1" t="s">
        <v>835</v>
      </c>
      <c r="E268" s="2" t="s">
        <v>836</v>
      </c>
      <c r="F268" s="2" t="s">
        <v>837</v>
      </c>
      <c r="G268" s="2">
        <v>0</v>
      </c>
      <c r="H268" s="2">
        <v>0</v>
      </c>
      <c r="I268" s="1">
        <v>0</v>
      </c>
      <c r="J268" s="3" t="s">
        <v>447</v>
      </c>
      <c r="K268" s="2" t="str">
        <f>J268*5119.89</f>
        <v>0</v>
      </c>
      <c r="L268" s="5"/>
    </row>
    <row r="269" spans="1:12" customHeight="1" ht="105" outlineLevel="4">
      <c r="A269" s="1"/>
      <c r="B269" s="1">
        <v>929879</v>
      </c>
      <c r="C269" s="1" t="s">
        <v>838</v>
      </c>
      <c r="D269" s="1" t="s">
        <v>839</v>
      </c>
      <c r="E269" s="2" t="s">
        <v>840</v>
      </c>
      <c r="F269" s="2" t="s">
        <v>841</v>
      </c>
      <c r="G269" s="2" t="s">
        <v>74</v>
      </c>
      <c r="H269" s="2">
        <v>0</v>
      </c>
      <c r="I269" s="1">
        <v>0</v>
      </c>
      <c r="J269" s="3" t="s">
        <v>447</v>
      </c>
      <c r="K269" s="2" t="str">
        <f>J269*183.14</f>
        <v>0</v>
      </c>
      <c r="L269" s="5"/>
    </row>
    <row r="270" spans="1:12" customHeight="1" ht="105" outlineLevel="4">
      <c r="A270" s="1"/>
      <c r="B270" s="1">
        <v>929880</v>
      </c>
      <c r="C270" s="1" t="s">
        <v>842</v>
      </c>
      <c r="D270" s="1" t="s">
        <v>843</v>
      </c>
      <c r="E270" s="2" t="s">
        <v>844</v>
      </c>
      <c r="F270" s="2" t="s">
        <v>845</v>
      </c>
      <c r="G270" s="2" t="s">
        <v>74</v>
      </c>
      <c r="H270" s="2">
        <v>0</v>
      </c>
      <c r="I270" s="1">
        <v>0</v>
      </c>
      <c r="J270" s="3" t="s">
        <v>447</v>
      </c>
      <c r="K270" s="2" t="str">
        <f>J270*199.06</f>
        <v>0</v>
      </c>
      <c r="L270" s="5"/>
    </row>
    <row r="271" spans="1:12" customHeight="1" ht="105" outlineLevel="4">
      <c r="A271" s="1"/>
      <c r="B271" s="1">
        <v>929881</v>
      </c>
      <c r="C271" s="1" t="s">
        <v>846</v>
      </c>
      <c r="D271" s="1" t="s">
        <v>847</v>
      </c>
      <c r="E271" s="2" t="s">
        <v>848</v>
      </c>
      <c r="F271" s="2" t="s">
        <v>849</v>
      </c>
      <c r="G271" s="2" t="s">
        <v>152</v>
      </c>
      <c r="H271" s="2">
        <v>0</v>
      </c>
      <c r="I271" s="1">
        <v>0</v>
      </c>
      <c r="J271" s="3" t="s">
        <v>447</v>
      </c>
      <c r="K271" s="2" t="str">
        <f>J271*372.65</f>
        <v>0</v>
      </c>
      <c r="L271" s="5"/>
    </row>
    <row r="272" spans="1:12" customHeight="1" ht="105" outlineLevel="4">
      <c r="A272" s="1"/>
      <c r="B272" s="1">
        <v>929882</v>
      </c>
      <c r="C272" s="1" t="s">
        <v>850</v>
      </c>
      <c r="D272" s="1" t="s">
        <v>851</v>
      </c>
      <c r="E272" s="2" t="s">
        <v>852</v>
      </c>
      <c r="F272" s="2" t="s">
        <v>853</v>
      </c>
      <c r="G272" s="2" t="s">
        <v>152</v>
      </c>
      <c r="H272" s="2">
        <v>0</v>
      </c>
      <c r="I272" s="1">
        <v>0</v>
      </c>
      <c r="J272" s="3" t="s">
        <v>447</v>
      </c>
      <c r="K272" s="2" t="str">
        <f>J272*280.28</f>
        <v>0</v>
      </c>
      <c r="L272" s="5"/>
    </row>
    <row r="273" spans="1:12" customHeight="1" ht="105" outlineLevel="4">
      <c r="A273" s="1"/>
      <c r="B273" s="1">
        <v>929883</v>
      </c>
      <c r="C273" s="1" t="s">
        <v>854</v>
      </c>
      <c r="D273" s="1" t="s">
        <v>855</v>
      </c>
      <c r="E273" s="2" t="s">
        <v>856</v>
      </c>
      <c r="F273" s="2" t="s">
        <v>857</v>
      </c>
      <c r="G273" s="2" t="s">
        <v>74</v>
      </c>
      <c r="H273" s="2">
        <v>0</v>
      </c>
      <c r="I273" s="1">
        <v>0</v>
      </c>
      <c r="J273" s="3" t="s">
        <v>447</v>
      </c>
      <c r="K273" s="2" t="str">
        <f>J273*281.87</f>
        <v>0</v>
      </c>
      <c r="L273" s="5"/>
    </row>
    <row r="274" spans="1:12" customHeight="1" ht="105" outlineLevel="4">
      <c r="A274" s="1"/>
      <c r="B274" s="1">
        <v>929884</v>
      </c>
      <c r="C274" s="1" t="s">
        <v>858</v>
      </c>
      <c r="D274" s="1" t="s">
        <v>859</v>
      </c>
      <c r="E274" s="2" t="s">
        <v>860</v>
      </c>
      <c r="F274" s="2" t="s">
        <v>861</v>
      </c>
      <c r="G274" s="2" t="s">
        <v>74</v>
      </c>
      <c r="H274" s="2">
        <v>0</v>
      </c>
      <c r="I274" s="1" t="s">
        <v>153</v>
      </c>
      <c r="J274" s="3" t="s">
        <v>447</v>
      </c>
      <c r="K274" s="2" t="str">
        <f>J274*310.54</f>
        <v>0</v>
      </c>
      <c r="L274" s="5"/>
    </row>
    <row r="275" spans="1:12" customHeight="1" ht="105" outlineLevel="4">
      <c r="A275" s="1"/>
      <c r="B275" s="1">
        <v>929885</v>
      </c>
      <c r="C275" s="1" t="s">
        <v>862</v>
      </c>
      <c r="D275" s="1" t="s">
        <v>863</v>
      </c>
      <c r="E275" s="2" t="s">
        <v>864</v>
      </c>
      <c r="F275" s="2" t="s">
        <v>865</v>
      </c>
      <c r="G275" s="2" t="s">
        <v>152</v>
      </c>
      <c r="H275" s="2">
        <v>0</v>
      </c>
      <c r="I275" s="1">
        <v>0</v>
      </c>
      <c r="J275" s="3" t="s">
        <v>447</v>
      </c>
      <c r="K275" s="2" t="str">
        <f>J275*350.35</f>
        <v>0</v>
      </c>
      <c r="L275" s="5"/>
    </row>
    <row r="276" spans="1:12" customHeight="1" ht="105" outlineLevel="4">
      <c r="A276" s="1"/>
      <c r="B276" s="1">
        <v>929886</v>
      </c>
      <c r="C276" s="1" t="s">
        <v>866</v>
      </c>
      <c r="D276" s="1" t="s">
        <v>867</v>
      </c>
      <c r="E276" s="2" t="s">
        <v>868</v>
      </c>
      <c r="F276" s="2" t="s">
        <v>754</v>
      </c>
      <c r="G276" s="2">
        <v>3</v>
      </c>
      <c r="H276" s="2">
        <v>0</v>
      </c>
      <c r="I276" s="1">
        <v>0</v>
      </c>
      <c r="J276" s="3" t="s">
        <v>447</v>
      </c>
      <c r="K276" s="2" t="str">
        <f>J276*348.76</f>
        <v>0</v>
      </c>
      <c r="L276" s="5"/>
    </row>
    <row r="277" spans="1:12" customHeight="1" ht="105" outlineLevel="4">
      <c r="A277" s="1"/>
      <c r="B277" s="1">
        <v>929887</v>
      </c>
      <c r="C277" s="1" t="s">
        <v>869</v>
      </c>
      <c r="D277" s="1" t="s">
        <v>870</v>
      </c>
      <c r="E277" s="2" t="s">
        <v>871</v>
      </c>
      <c r="F277" s="2" t="s">
        <v>872</v>
      </c>
      <c r="G277" s="2" t="s">
        <v>153</v>
      </c>
      <c r="H277" s="2">
        <v>0</v>
      </c>
      <c r="I277" s="1">
        <v>10</v>
      </c>
      <c r="J277" s="3" t="s">
        <v>447</v>
      </c>
      <c r="K277" s="2" t="str">
        <f>J277*455.46</f>
        <v>0</v>
      </c>
      <c r="L277" s="5"/>
    </row>
    <row r="278" spans="1:12" customHeight="1" ht="105" outlineLevel="4">
      <c r="A278" s="1"/>
      <c r="B278" s="1">
        <v>929888</v>
      </c>
      <c r="C278" s="1" t="s">
        <v>873</v>
      </c>
      <c r="D278" s="1" t="s">
        <v>874</v>
      </c>
      <c r="E278" s="2" t="s">
        <v>875</v>
      </c>
      <c r="F278" s="2" t="s">
        <v>876</v>
      </c>
      <c r="G278" s="2" t="s">
        <v>153</v>
      </c>
      <c r="H278" s="2">
        <v>0</v>
      </c>
      <c r="I278" s="1">
        <v>0</v>
      </c>
      <c r="J278" s="3" t="s">
        <v>447</v>
      </c>
      <c r="K278" s="2" t="str">
        <f>J278*632.22</f>
        <v>0</v>
      </c>
      <c r="L278" s="5"/>
    </row>
    <row r="279" spans="1:12" customHeight="1" ht="105" outlineLevel="4">
      <c r="A279" s="1"/>
      <c r="B279" s="1">
        <v>929889</v>
      </c>
      <c r="C279" s="1" t="s">
        <v>877</v>
      </c>
      <c r="D279" s="1" t="s">
        <v>878</v>
      </c>
      <c r="E279" s="2" t="s">
        <v>879</v>
      </c>
      <c r="F279" s="2" t="s">
        <v>880</v>
      </c>
      <c r="G279" s="2">
        <v>10</v>
      </c>
      <c r="H279" s="2">
        <v>0</v>
      </c>
      <c r="I279" s="1">
        <v>0</v>
      </c>
      <c r="J279" s="3" t="s">
        <v>447</v>
      </c>
      <c r="K279" s="2" t="str">
        <f>J279*1145.01</f>
        <v>0</v>
      </c>
      <c r="L279" s="5"/>
    </row>
    <row r="280" spans="1:12" customHeight="1" ht="105" outlineLevel="4">
      <c r="A280" s="1"/>
      <c r="B280" s="1">
        <v>929890</v>
      </c>
      <c r="C280" s="1" t="s">
        <v>881</v>
      </c>
      <c r="D280" s="1" t="s">
        <v>882</v>
      </c>
      <c r="E280" s="2" t="s">
        <v>883</v>
      </c>
      <c r="F280" s="2" t="s">
        <v>884</v>
      </c>
      <c r="G280" s="2" t="s">
        <v>153</v>
      </c>
      <c r="H280" s="2">
        <v>0</v>
      </c>
      <c r="I280" s="1">
        <v>0</v>
      </c>
      <c r="J280" s="3" t="s">
        <v>447</v>
      </c>
      <c r="K280" s="2" t="str">
        <f>J280*1834.56</f>
        <v>0</v>
      </c>
      <c r="L280" s="5"/>
    </row>
    <row r="281" spans="1:12" customHeight="1" ht="105" outlineLevel="4">
      <c r="A281" s="1"/>
      <c r="B281" s="1">
        <v>929891</v>
      </c>
      <c r="C281" s="1" t="s">
        <v>885</v>
      </c>
      <c r="D281" s="1" t="s">
        <v>886</v>
      </c>
      <c r="E281" s="2" t="s">
        <v>887</v>
      </c>
      <c r="F281" s="2" t="s">
        <v>888</v>
      </c>
      <c r="G281" s="2" t="s">
        <v>74</v>
      </c>
      <c r="H281" s="2">
        <v>0</v>
      </c>
      <c r="I281" s="1">
        <v>0</v>
      </c>
      <c r="J281" s="3" t="s">
        <v>447</v>
      </c>
      <c r="K281" s="2" t="str">
        <f>J281*195.88</f>
        <v>0</v>
      </c>
      <c r="L281" s="5"/>
    </row>
    <row r="282" spans="1:12" customHeight="1" ht="105" outlineLevel="4">
      <c r="A282" s="1"/>
      <c r="B282" s="1">
        <v>929892</v>
      </c>
      <c r="C282" s="1" t="s">
        <v>889</v>
      </c>
      <c r="D282" s="1" t="s">
        <v>890</v>
      </c>
      <c r="E282" s="2" t="s">
        <v>891</v>
      </c>
      <c r="F282" s="2" t="s">
        <v>794</v>
      </c>
      <c r="G282" s="2" t="s">
        <v>74</v>
      </c>
      <c r="H282" s="2">
        <v>0</v>
      </c>
      <c r="I282" s="1">
        <v>0</v>
      </c>
      <c r="J282" s="3" t="s">
        <v>447</v>
      </c>
      <c r="K282" s="2" t="str">
        <f>J282*242.06</f>
        <v>0</v>
      </c>
      <c r="L282" s="5"/>
    </row>
    <row r="283" spans="1:12" customHeight="1" ht="105" outlineLevel="4">
      <c r="A283" s="1"/>
      <c r="B283" s="1">
        <v>929893</v>
      </c>
      <c r="C283" s="1" t="s">
        <v>892</v>
      </c>
      <c r="D283" s="1" t="s">
        <v>893</v>
      </c>
      <c r="E283" s="2" t="s">
        <v>894</v>
      </c>
      <c r="F283" s="2" t="s">
        <v>895</v>
      </c>
      <c r="G283" s="2" t="s">
        <v>152</v>
      </c>
      <c r="H283" s="2">
        <v>0</v>
      </c>
      <c r="I283" s="1">
        <v>0</v>
      </c>
      <c r="J283" s="3" t="s">
        <v>447</v>
      </c>
      <c r="K283" s="2" t="str">
        <f>J283*404.50</f>
        <v>0</v>
      </c>
      <c r="L283" s="5"/>
    </row>
    <row r="284" spans="1:12" customHeight="1" ht="105" outlineLevel="4">
      <c r="A284" s="1"/>
      <c r="B284" s="1">
        <v>929894</v>
      </c>
      <c r="C284" s="1" t="s">
        <v>896</v>
      </c>
      <c r="D284" s="1" t="s">
        <v>897</v>
      </c>
      <c r="E284" s="2" t="s">
        <v>898</v>
      </c>
      <c r="F284" s="2" t="s">
        <v>899</v>
      </c>
      <c r="G284" s="2">
        <v>0</v>
      </c>
      <c r="H284" s="2">
        <v>0</v>
      </c>
      <c r="I284" s="1">
        <v>0</v>
      </c>
      <c r="J284" s="3" t="s">
        <v>447</v>
      </c>
      <c r="K284" s="2" t="str">
        <f>J284*294.61</f>
        <v>0</v>
      </c>
      <c r="L284" s="5"/>
    </row>
    <row r="285" spans="1:12" customHeight="1" ht="105" outlineLevel="4">
      <c r="A285" s="1"/>
      <c r="B285" s="1">
        <v>929895</v>
      </c>
      <c r="C285" s="1" t="s">
        <v>900</v>
      </c>
      <c r="D285" s="1" t="s">
        <v>901</v>
      </c>
      <c r="E285" s="2" t="s">
        <v>902</v>
      </c>
      <c r="F285" s="2" t="s">
        <v>903</v>
      </c>
      <c r="G285" s="2">
        <v>0</v>
      </c>
      <c r="H285" s="2">
        <v>0</v>
      </c>
      <c r="I285" s="1">
        <v>0</v>
      </c>
      <c r="J285" s="3" t="s">
        <v>447</v>
      </c>
      <c r="K285" s="2" t="str">
        <f>J285*291.43</f>
        <v>0</v>
      </c>
      <c r="L285" s="5"/>
    </row>
    <row r="286" spans="1:12" customHeight="1" ht="105" outlineLevel="4">
      <c r="A286" s="1"/>
      <c r="B286" s="1">
        <v>929896</v>
      </c>
      <c r="C286" s="1" t="s">
        <v>904</v>
      </c>
      <c r="D286" s="1" t="s">
        <v>905</v>
      </c>
      <c r="E286" s="2" t="s">
        <v>906</v>
      </c>
      <c r="F286" s="2" t="s">
        <v>619</v>
      </c>
      <c r="G286" s="2" t="s">
        <v>74</v>
      </c>
      <c r="H286" s="2">
        <v>0</v>
      </c>
      <c r="I286" s="1">
        <v>0</v>
      </c>
      <c r="J286" s="3" t="s">
        <v>447</v>
      </c>
      <c r="K286" s="2" t="str">
        <f>J286*353.54</f>
        <v>0</v>
      </c>
      <c r="L286" s="5"/>
    </row>
    <row r="287" spans="1:12" customHeight="1" ht="105" outlineLevel="4">
      <c r="A287" s="1"/>
      <c r="B287" s="1">
        <v>929897</v>
      </c>
      <c r="C287" s="1" t="s">
        <v>907</v>
      </c>
      <c r="D287" s="1" t="s">
        <v>908</v>
      </c>
      <c r="E287" s="2" t="s">
        <v>909</v>
      </c>
      <c r="F287" s="2" t="s">
        <v>910</v>
      </c>
      <c r="G287" s="2" t="s">
        <v>152</v>
      </c>
      <c r="H287" s="2">
        <v>0</v>
      </c>
      <c r="I287" s="1">
        <v>0</v>
      </c>
      <c r="J287" s="3" t="s">
        <v>447</v>
      </c>
      <c r="K287" s="2" t="str">
        <f>J287*374.24</f>
        <v>0</v>
      </c>
      <c r="L287" s="5"/>
    </row>
    <row r="288" spans="1:12" customHeight="1" ht="105" outlineLevel="4">
      <c r="A288" s="1"/>
      <c r="B288" s="1">
        <v>929898</v>
      </c>
      <c r="C288" s="1" t="s">
        <v>911</v>
      </c>
      <c r="D288" s="1" t="s">
        <v>912</v>
      </c>
      <c r="E288" s="2" t="s">
        <v>913</v>
      </c>
      <c r="F288" s="2" t="s">
        <v>914</v>
      </c>
      <c r="G288" s="2" t="s">
        <v>74</v>
      </c>
      <c r="H288" s="2">
        <v>0</v>
      </c>
      <c r="I288" s="1">
        <v>0</v>
      </c>
      <c r="J288" s="3" t="s">
        <v>447</v>
      </c>
      <c r="K288" s="2" t="str">
        <f>J288*393.35</f>
        <v>0</v>
      </c>
      <c r="L288" s="5"/>
    </row>
    <row r="289" spans="1:12" customHeight="1" ht="105" outlineLevel="4">
      <c r="A289" s="1"/>
      <c r="B289" s="1">
        <v>929899</v>
      </c>
      <c r="C289" s="1" t="s">
        <v>915</v>
      </c>
      <c r="D289" s="1" t="s">
        <v>916</v>
      </c>
      <c r="E289" s="2" t="s">
        <v>917</v>
      </c>
      <c r="F289" s="2" t="s">
        <v>918</v>
      </c>
      <c r="G289" s="2" t="s">
        <v>153</v>
      </c>
      <c r="H289" s="2">
        <v>0</v>
      </c>
      <c r="I289" s="1">
        <v>0</v>
      </c>
      <c r="J289" s="3" t="s">
        <v>447</v>
      </c>
      <c r="K289" s="2" t="str">
        <f>J289*586.04</f>
        <v>0</v>
      </c>
      <c r="L289" s="5"/>
    </row>
    <row r="290" spans="1:12" customHeight="1" ht="105" outlineLevel="4">
      <c r="A290" s="1"/>
      <c r="B290" s="1">
        <v>929900</v>
      </c>
      <c r="C290" s="1" t="s">
        <v>919</v>
      </c>
      <c r="D290" s="1" t="s">
        <v>920</v>
      </c>
      <c r="E290" s="2" t="s">
        <v>921</v>
      </c>
      <c r="F290" s="2" t="s">
        <v>922</v>
      </c>
      <c r="G290" s="2" t="s">
        <v>152</v>
      </c>
      <c r="H290" s="2">
        <v>0</v>
      </c>
      <c r="I290" s="1">
        <v>0</v>
      </c>
      <c r="J290" s="3" t="s">
        <v>447</v>
      </c>
      <c r="K290" s="2" t="str">
        <f>J290*737.33</f>
        <v>0</v>
      </c>
      <c r="L290" s="5"/>
    </row>
    <row r="291" spans="1:12" customHeight="1" ht="105" outlineLevel="4">
      <c r="A291" s="1"/>
      <c r="B291" s="1">
        <v>929901</v>
      </c>
      <c r="C291" s="1" t="s">
        <v>923</v>
      </c>
      <c r="D291" s="1" t="s">
        <v>924</v>
      </c>
      <c r="E291" s="2" t="s">
        <v>925</v>
      </c>
      <c r="F291" s="2" t="s">
        <v>926</v>
      </c>
      <c r="G291" s="2">
        <v>9</v>
      </c>
      <c r="H291" s="2">
        <v>0</v>
      </c>
      <c r="I291" s="1">
        <v>0</v>
      </c>
      <c r="J291" s="3" t="s">
        <v>447</v>
      </c>
      <c r="K291" s="2" t="str">
        <f>J291*1210.30</f>
        <v>0</v>
      </c>
      <c r="L291" s="5"/>
    </row>
    <row r="292" spans="1:12" customHeight="1" ht="105" outlineLevel="4">
      <c r="A292" s="1"/>
      <c r="B292" s="1">
        <v>929902</v>
      </c>
      <c r="C292" s="1" t="s">
        <v>927</v>
      </c>
      <c r="D292" s="1" t="s">
        <v>928</v>
      </c>
      <c r="E292" s="2" t="s">
        <v>929</v>
      </c>
      <c r="F292" s="2" t="s">
        <v>930</v>
      </c>
      <c r="G292" s="2">
        <v>6</v>
      </c>
      <c r="H292" s="2">
        <v>0</v>
      </c>
      <c r="I292" s="1">
        <v>0</v>
      </c>
      <c r="J292" s="3" t="s">
        <v>447</v>
      </c>
      <c r="K292" s="2" t="str">
        <f>J292*2149.88</f>
        <v>0</v>
      </c>
      <c r="L292" s="5"/>
    </row>
    <row r="293" spans="1:12" customHeight="1" ht="105" outlineLevel="4">
      <c r="A293" s="1"/>
      <c r="B293" s="1">
        <v>929903</v>
      </c>
      <c r="C293" s="1" t="s">
        <v>931</v>
      </c>
      <c r="D293" s="1"/>
      <c r="E293" s="2" t="s">
        <v>932</v>
      </c>
      <c r="F293" s="2" t="s">
        <v>933</v>
      </c>
      <c r="G293" s="2" t="s">
        <v>152</v>
      </c>
      <c r="H293" s="2">
        <v>0</v>
      </c>
      <c r="I293" s="1">
        <v>0</v>
      </c>
      <c r="J293" s="3" t="s">
        <v>447</v>
      </c>
      <c r="K293" s="2" t="str">
        <f>J293*44.10</f>
        <v>0</v>
      </c>
      <c r="L293" s="5"/>
    </row>
    <row r="294" spans="1:12" customHeight="1" ht="105" outlineLevel="4">
      <c r="A294" s="1"/>
      <c r="B294" s="1">
        <v>929904</v>
      </c>
      <c r="C294" s="1" t="s">
        <v>934</v>
      </c>
      <c r="D294" s="1"/>
      <c r="E294" s="2" t="s">
        <v>935</v>
      </c>
      <c r="F294" s="2" t="s">
        <v>936</v>
      </c>
      <c r="G294" s="2" t="s">
        <v>152</v>
      </c>
      <c r="H294" s="2">
        <v>0</v>
      </c>
      <c r="I294" s="1">
        <v>0</v>
      </c>
      <c r="J294" s="3" t="s">
        <v>447</v>
      </c>
      <c r="K294" s="2" t="str">
        <f>J294*68.25</f>
        <v>0</v>
      </c>
      <c r="L294" s="5"/>
    </row>
    <row r="295" spans="1:12" customHeight="1" ht="105" outlineLevel="4">
      <c r="A295" s="1"/>
      <c r="B295" s="1">
        <v>929905</v>
      </c>
      <c r="C295" s="1" t="s">
        <v>937</v>
      </c>
      <c r="D295" s="1"/>
      <c r="E295" s="2" t="s">
        <v>938</v>
      </c>
      <c r="F295" s="2" t="s">
        <v>939</v>
      </c>
      <c r="G295" s="2" t="s">
        <v>153</v>
      </c>
      <c r="H295" s="2">
        <v>0</v>
      </c>
      <c r="I295" s="1" t="s">
        <v>152</v>
      </c>
      <c r="J295" s="3" t="s">
        <v>447</v>
      </c>
      <c r="K295" s="2" t="str">
        <f>J295*83.58</f>
        <v>0</v>
      </c>
      <c r="L295" s="5"/>
    </row>
    <row r="296" spans="1:12" customHeight="1" ht="105" outlineLevel="4">
      <c r="A296" s="1"/>
      <c r="B296" s="1">
        <v>929906</v>
      </c>
      <c r="C296" s="1" t="s">
        <v>940</v>
      </c>
      <c r="D296" s="1"/>
      <c r="E296" s="2" t="s">
        <v>941</v>
      </c>
      <c r="F296" s="2" t="s">
        <v>933</v>
      </c>
      <c r="G296" s="2" t="s">
        <v>152</v>
      </c>
      <c r="H296" s="2">
        <v>0</v>
      </c>
      <c r="I296" s="1">
        <v>0</v>
      </c>
      <c r="J296" s="3" t="s">
        <v>447</v>
      </c>
      <c r="K296" s="2" t="str">
        <f>J296*44.10</f>
        <v>0</v>
      </c>
      <c r="L296" s="5"/>
    </row>
    <row r="297" spans="1:12" customHeight="1" ht="105" outlineLevel="4">
      <c r="A297" s="1"/>
      <c r="B297" s="1">
        <v>929907</v>
      </c>
      <c r="C297" s="1" t="s">
        <v>942</v>
      </c>
      <c r="D297" s="1"/>
      <c r="E297" s="2" t="s">
        <v>943</v>
      </c>
      <c r="F297" s="2" t="s">
        <v>944</v>
      </c>
      <c r="G297" s="2" t="s">
        <v>152</v>
      </c>
      <c r="H297" s="2">
        <v>0</v>
      </c>
      <c r="I297" s="1">
        <v>0</v>
      </c>
      <c r="J297" s="3" t="s">
        <v>447</v>
      </c>
      <c r="K297" s="2" t="str">
        <f>J297*68.04</f>
        <v>0</v>
      </c>
      <c r="L297" s="5"/>
    </row>
    <row r="298" spans="1:12" customHeight="1" ht="105" outlineLevel="4">
      <c r="A298" s="1"/>
      <c r="B298" s="1">
        <v>929908</v>
      </c>
      <c r="C298" s="1" t="s">
        <v>945</v>
      </c>
      <c r="D298" s="1"/>
      <c r="E298" s="2" t="s">
        <v>946</v>
      </c>
      <c r="F298" s="2" t="s">
        <v>947</v>
      </c>
      <c r="G298" s="2" t="s">
        <v>152</v>
      </c>
      <c r="H298" s="2">
        <v>0</v>
      </c>
      <c r="I298" s="1">
        <v>0</v>
      </c>
      <c r="J298" s="3" t="s">
        <v>447</v>
      </c>
      <c r="K298" s="2" t="str">
        <f>J298*83.79</f>
        <v>0</v>
      </c>
      <c r="L298" s="5"/>
    </row>
    <row r="299" spans="1:12" customHeight="1" ht="105" outlineLevel="4">
      <c r="A299" s="1"/>
      <c r="B299" s="1">
        <v>929909</v>
      </c>
      <c r="C299" s="1" t="s">
        <v>948</v>
      </c>
      <c r="D299" s="1"/>
      <c r="E299" s="2" t="s">
        <v>949</v>
      </c>
      <c r="F299" s="2" t="s">
        <v>950</v>
      </c>
      <c r="G299" s="2" t="s">
        <v>152</v>
      </c>
      <c r="H299" s="2">
        <v>0</v>
      </c>
      <c r="I299" s="1">
        <v>0</v>
      </c>
      <c r="J299" s="3" t="s">
        <v>447</v>
      </c>
      <c r="K299" s="2" t="str">
        <f>J299*133.77</f>
        <v>0</v>
      </c>
      <c r="L299" s="5"/>
    </row>
    <row r="300" spans="1:12" customHeight="1" ht="105" outlineLevel="4">
      <c r="A300" s="1"/>
      <c r="B300" s="1">
        <v>929910</v>
      </c>
      <c r="C300" s="1" t="s">
        <v>951</v>
      </c>
      <c r="D300" s="1"/>
      <c r="E300" s="2" t="s">
        <v>952</v>
      </c>
      <c r="F300" s="2" t="s">
        <v>953</v>
      </c>
      <c r="G300" s="2" t="s">
        <v>152</v>
      </c>
      <c r="H300" s="2">
        <v>0</v>
      </c>
      <c r="I300" s="1">
        <v>0</v>
      </c>
      <c r="J300" s="3" t="s">
        <v>447</v>
      </c>
      <c r="K300" s="2" t="str">
        <f>J300*189.42</f>
        <v>0</v>
      </c>
      <c r="L300" s="5"/>
    </row>
    <row r="301" spans="1:12" customHeight="1" ht="105" outlineLevel="4">
      <c r="A301" s="1"/>
      <c r="B301" s="1">
        <v>929911</v>
      </c>
      <c r="C301" s="1" t="s">
        <v>954</v>
      </c>
      <c r="D301" s="1"/>
      <c r="E301" s="2" t="s">
        <v>955</v>
      </c>
      <c r="F301" s="2" t="s">
        <v>956</v>
      </c>
      <c r="G301" s="2" t="s">
        <v>153</v>
      </c>
      <c r="H301" s="2">
        <v>0</v>
      </c>
      <c r="I301" s="1">
        <v>0</v>
      </c>
      <c r="J301" s="3" t="s">
        <v>447</v>
      </c>
      <c r="K301" s="2" t="str">
        <f>J301*201.39</f>
        <v>0</v>
      </c>
      <c r="L301" s="5"/>
    </row>
    <row r="302" spans="1:12" customHeight="1" ht="105" outlineLevel="4">
      <c r="A302" s="1"/>
      <c r="B302" s="1">
        <v>929912</v>
      </c>
      <c r="C302" s="1" t="s">
        <v>957</v>
      </c>
      <c r="D302" s="1"/>
      <c r="E302" s="2" t="s">
        <v>958</v>
      </c>
      <c r="F302" s="2" t="s">
        <v>959</v>
      </c>
      <c r="G302" s="2" t="s">
        <v>153</v>
      </c>
      <c r="H302" s="2">
        <v>0</v>
      </c>
      <c r="I302" s="1">
        <v>0</v>
      </c>
      <c r="J302" s="3" t="s">
        <v>447</v>
      </c>
      <c r="K302" s="2" t="str">
        <f>J302*318.57</f>
        <v>0</v>
      </c>
      <c r="L302" s="5"/>
    </row>
    <row r="303" spans="1:12" customHeight="1" ht="105" outlineLevel="4">
      <c r="A303" s="1"/>
      <c r="B303" s="1">
        <v>929913</v>
      </c>
      <c r="C303" s="1" t="s">
        <v>960</v>
      </c>
      <c r="D303" s="1"/>
      <c r="E303" s="2" t="s">
        <v>961</v>
      </c>
      <c r="F303" s="2" t="s">
        <v>962</v>
      </c>
      <c r="G303" s="2">
        <v>0</v>
      </c>
      <c r="H303" s="2">
        <v>0</v>
      </c>
      <c r="I303" s="1" t="s">
        <v>153</v>
      </c>
      <c r="J303" s="3" t="s">
        <v>447</v>
      </c>
      <c r="K303" s="2" t="str">
        <f>J303*319.41</f>
        <v>0</v>
      </c>
      <c r="L303" s="5"/>
    </row>
    <row r="304" spans="1:12" customHeight="1" ht="105" outlineLevel="4">
      <c r="A304" s="1"/>
      <c r="B304" s="1">
        <v>929914</v>
      </c>
      <c r="C304" s="1" t="s">
        <v>963</v>
      </c>
      <c r="D304" s="1"/>
      <c r="E304" s="2" t="s">
        <v>964</v>
      </c>
      <c r="F304" s="2" t="s">
        <v>965</v>
      </c>
      <c r="G304" s="2">
        <v>6</v>
      </c>
      <c r="H304" s="2">
        <v>0</v>
      </c>
      <c r="I304" s="1">
        <v>0</v>
      </c>
      <c r="J304" s="3" t="s">
        <v>447</v>
      </c>
      <c r="K304" s="2" t="str">
        <f>J304*459.06</f>
        <v>0</v>
      </c>
      <c r="L304" s="5"/>
    </row>
    <row r="305" spans="1:12" customHeight="1" ht="105" outlineLevel="4">
      <c r="A305" s="1"/>
      <c r="B305" s="1">
        <v>929915</v>
      </c>
      <c r="C305" s="1" t="s">
        <v>966</v>
      </c>
      <c r="D305" s="1"/>
      <c r="E305" s="2" t="s">
        <v>967</v>
      </c>
      <c r="F305" s="2" t="s">
        <v>512</v>
      </c>
      <c r="G305" s="2" t="s">
        <v>153</v>
      </c>
      <c r="H305" s="2">
        <v>0</v>
      </c>
      <c r="I305" s="1">
        <v>0</v>
      </c>
      <c r="J305" s="3" t="s">
        <v>447</v>
      </c>
      <c r="K305" s="2" t="str">
        <f>J305*80.22</f>
        <v>0</v>
      </c>
      <c r="L305" s="5"/>
    </row>
    <row r="306" spans="1:12" customHeight="1" ht="105" outlineLevel="4">
      <c r="A306" s="1"/>
      <c r="B306" s="1">
        <v>929916</v>
      </c>
      <c r="C306" s="1" t="s">
        <v>968</v>
      </c>
      <c r="D306" s="1"/>
      <c r="E306" s="2" t="s">
        <v>969</v>
      </c>
      <c r="F306" s="2" t="s">
        <v>970</v>
      </c>
      <c r="G306" s="2">
        <v>3</v>
      </c>
      <c r="H306" s="2">
        <v>0</v>
      </c>
      <c r="I306" s="1">
        <v>0</v>
      </c>
      <c r="J306" s="3" t="s">
        <v>447</v>
      </c>
      <c r="K306" s="2" t="str">
        <f>J306*86.94</f>
        <v>0</v>
      </c>
      <c r="L306" s="5"/>
    </row>
    <row r="307" spans="1:12" customHeight="1" ht="105" outlineLevel="4">
      <c r="A307" s="1"/>
      <c r="B307" s="1">
        <v>929917</v>
      </c>
      <c r="C307" s="1" t="s">
        <v>971</v>
      </c>
      <c r="D307" s="1"/>
      <c r="E307" s="2" t="s">
        <v>972</v>
      </c>
      <c r="F307" s="2" t="s">
        <v>973</v>
      </c>
      <c r="G307" s="2" t="s">
        <v>152</v>
      </c>
      <c r="H307" s="2">
        <v>0</v>
      </c>
      <c r="I307" s="1">
        <v>0</v>
      </c>
      <c r="J307" s="3" t="s">
        <v>447</v>
      </c>
      <c r="K307" s="2" t="str">
        <f>J307*93.66</f>
        <v>0</v>
      </c>
      <c r="L307" s="5"/>
    </row>
    <row r="308" spans="1:12" customHeight="1" ht="105" outlineLevel="4">
      <c r="A308" s="1"/>
      <c r="B308" s="1">
        <v>929918</v>
      </c>
      <c r="C308" s="1" t="s">
        <v>974</v>
      </c>
      <c r="D308" s="1"/>
      <c r="E308" s="2" t="s">
        <v>975</v>
      </c>
      <c r="F308" s="2" t="s">
        <v>976</v>
      </c>
      <c r="G308" s="2">
        <v>5</v>
      </c>
      <c r="H308" s="2">
        <v>0</v>
      </c>
      <c r="I308" s="1">
        <v>0</v>
      </c>
      <c r="J308" s="3" t="s">
        <v>447</v>
      </c>
      <c r="K308" s="2" t="str">
        <f>J308*140.14</f>
        <v>0</v>
      </c>
      <c r="L308" s="5"/>
    </row>
    <row r="309" spans="1:12" customHeight="1" ht="105" outlineLevel="4">
      <c r="A309" s="1"/>
      <c r="B309" s="1">
        <v>929919</v>
      </c>
      <c r="C309" s="1" t="s">
        <v>977</v>
      </c>
      <c r="D309" s="1"/>
      <c r="E309" s="2" t="s">
        <v>978</v>
      </c>
      <c r="F309" s="2" t="s">
        <v>979</v>
      </c>
      <c r="G309" s="2">
        <v>0</v>
      </c>
      <c r="H309" s="2">
        <v>0</v>
      </c>
      <c r="I309" s="1">
        <v>0</v>
      </c>
      <c r="J309" s="3" t="s">
        <v>447</v>
      </c>
      <c r="K309" s="2" t="str">
        <f>J309*141.73</f>
        <v>0</v>
      </c>
      <c r="L309" s="5"/>
    </row>
    <row r="310" spans="1:12" customHeight="1" ht="105" outlineLevel="4">
      <c r="A310" s="1"/>
      <c r="B310" s="1">
        <v>929920</v>
      </c>
      <c r="C310" s="1" t="s">
        <v>980</v>
      </c>
      <c r="D310" s="1"/>
      <c r="E310" s="2" t="s">
        <v>981</v>
      </c>
      <c r="F310" s="2" t="s">
        <v>982</v>
      </c>
      <c r="G310" s="2" t="s">
        <v>153</v>
      </c>
      <c r="H310" s="2">
        <v>0</v>
      </c>
      <c r="I310" s="1">
        <v>0</v>
      </c>
      <c r="J310" s="3" t="s">
        <v>447</v>
      </c>
      <c r="K310" s="2" t="str">
        <f>J310*179.95</f>
        <v>0</v>
      </c>
      <c r="L310" s="5"/>
    </row>
    <row r="311" spans="1:12" customHeight="1" ht="105" outlineLevel="4">
      <c r="A311" s="1"/>
      <c r="B311" s="1">
        <v>929921</v>
      </c>
      <c r="C311" s="1" t="s">
        <v>983</v>
      </c>
      <c r="D311" s="1"/>
      <c r="E311" s="2" t="s">
        <v>984</v>
      </c>
      <c r="F311" s="2" t="s">
        <v>985</v>
      </c>
      <c r="G311" s="2">
        <v>7</v>
      </c>
      <c r="H311" s="2">
        <v>0</v>
      </c>
      <c r="I311" s="1">
        <v>0</v>
      </c>
      <c r="J311" s="3" t="s">
        <v>447</v>
      </c>
      <c r="K311" s="2" t="str">
        <f>J311*187.92</f>
        <v>0</v>
      </c>
      <c r="L311" s="5"/>
    </row>
    <row r="312" spans="1:12" customHeight="1" ht="105" outlineLevel="4">
      <c r="A312" s="1"/>
      <c r="B312" s="1">
        <v>929922</v>
      </c>
      <c r="C312" s="1" t="s">
        <v>986</v>
      </c>
      <c r="D312" s="1"/>
      <c r="E312" s="2" t="s">
        <v>987</v>
      </c>
      <c r="F312" s="2" t="s">
        <v>988</v>
      </c>
      <c r="G312" s="2" t="s">
        <v>153</v>
      </c>
      <c r="H312" s="2">
        <v>0</v>
      </c>
      <c r="I312" s="1">
        <v>0</v>
      </c>
      <c r="J312" s="3" t="s">
        <v>447</v>
      </c>
      <c r="K312" s="2" t="str">
        <f>J312*288.24</f>
        <v>0</v>
      </c>
      <c r="L312" s="5"/>
    </row>
    <row r="313" spans="1:12" customHeight="1" ht="105" outlineLevel="4">
      <c r="A313" s="1"/>
      <c r="B313" s="1">
        <v>929923</v>
      </c>
      <c r="C313" s="1" t="s">
        <v>989</v>
      </c>
      <c r="D313" s="1"/>
      <c r="E313" s="2" t="s">
        <v>990</v>
      </c>
      <c r="F313" s="2" t="s">
        <v>991</v>
      </c>
      <c r="G313" s="2" t="s">
        <v>74</v>
      </c>
      <c r="H313" s="2">
        <v>0</v>
      </c>
      <c r="I313" s="1">
        <v>0</v>
      </c>
      <c r="J313" s="3" t="s">
        <v>447</v>
      </c>
      <c r="K313" s="2" t="str">
        <f>J313*86.10</f>
        <v>0</v>
      </c>
      <c r="L313" s="5"/>
    </row>
    <row r="314" spans="1:12" customHeight="1" ht="105" outlineLevel="4">
      <c r="A314" s="1"/>
      <c r="B314" s="1">
        <v>929924</v>
      </c>
      <c r="C314" s="1" t="s">
        <v>992</v>
      </c>
      <c r="D314" s="1"/>
      <c r="E314" s="2" t="s">
        <v>993</v>
      </c>
      <c r="F314" s="2" t="s">
        <v>994</v>
      </c>
      <c r="G314" s="2" t="s">
        <v>74</v>
      </c>
      <c r="H314" s="2">
        <v>0</v>
      </c>
      <c r="I314" s="1">
        <v>0</v>
      </c>
      <c r="J314" s="3" t="s">
        <v>447</v>
      </c>
      <c r="K314" s="2" t="str">
        <f>J314*19.11</f>
        <v>0</v>
      </c>
      <c r="L314" s="5"/>
    </row>
    <row r="315" spans="1:12" customHeight="1" ht="105" outlineLevel="4">
      <c r="A315" s="1"/>
      <c r="B315" s="1">
        <v>929925</v>
      </c>
      <c r="C315" s="1" t="s">
        <v>995</v>
      </c>
      <c r="D315" s="1"/>
      <c r="E315" s="2" t="s">
        <v>996</v>
      </c>
      <c r="F315" s="2" t="s">
        <v>997</v>
      </c>
      <c r="G315" s="2" t="s">
        <v>180</v>
      </c>
      <c r="H315" s="2">
        <v>0</v>
      </c>
      <c r="I315" s="1">
        <v>0</v>
      </c>
      <c r="J315" s="3" t="s">
        <v>447</v>
      </c>
      <c r="K315" s="2" t="str">
        <f>J315*6.57</f>
        <v>0</v>
      </c>
      <c r="L315" s="5"/>
    </row>
    <row r="316" spans="1:12" customHeight="1" ht="105" outlineLevel="4">
      <c r="A316" s="1"/>
      <c r="B316" s="1">
        <v>929926</v>
      </c>
      <c r="C316" s="1" t="s">
        <v>998</v>
      </c>
      <c r="D316" s="1"/>
      <c r="E316" s="2" t="s">
        <v>999</v>
      </c>
      <c r="F316" s="2" t="s">
        <v>1000</v>
      </c>
      <c r="G316" s="2" t="s">
        <v>180</v>
      </c>
      <c r="H316" s="2">
        <v>0</v>
      </c>
      <c r="I316" s="1">
        <v>0</v>
      </c>
      <c r="J316" s="3" t="s">
        <v>447</v>
      </c>
      <c r="K316" s="2" t="str">
        <f>J316*10.85</f>
        <v>0</v>
      </c>
      <c r="L316" s="5"/>
    </row>
    <row r="317" spans="1:12" customHeight="1" ht="105" outlineLevel="4">
      <c r="A317" s="1"/>
      <c r="B317" s="1">
        <v>929927</v>
      </c>
      <c r="C317" s="1" t="s">
        <v>1001</v>
      </c>
      <c r="D317" s="1"/>
      <c r="E317" s="2" t="s">
        <v>1002</v>
      </c>
      <c r="F317" s="2" t="s">
        <v>1003</v>
      </c>
      <c r="G317" s="2" t="s">
        <v>136</v>
      </c>
      <c r="H317" s="2">
        <v>0</v>
      </c>
      <c r="I317" s="1">
        <v>0</v>
      </c>
      <c r="J317" s="3" t="s">
        <v>447</v>
      </c>
      <c r="K317" s="2" t="str">
        <f>J317*18.86</f>
        <v>0</v>
      </c>
      <c r="L317" s="5"/>
    </row>
    <row r="318" spans="1:12" customHeight="1" ht="105" outlineLevel="4">
      <c r="A318" s="1"/>
      <c r="B318" s="1">
        <v>929928</v>
      </c>
      <c r="C318" s="1" t="s">
        <v>1004</v>
      </c>
      <c r="D318" s="1"/>
      <c r="E318" s="2" t="s">
        <v>1005</v>
      </c>
      <c r="F318" s="2" t="s">
        <v>1006</v>
      </c>
      <c r="G318" s="2" t="s">
        <v>58</v>
      </c>
      <c r="H318" s="2">
        <v>0</v>
      </c>
      <c r="I318" s="1">
        <v>0</v>
      </c>
      <c r="J318" s="3" t="s">
        <v>447</v>
      </c>
      <c r="K318" s="2" t="str">
        <f>J318*36.33</f>
        <v>0</v>
      </c>
      <c r="L318" s="5"/>
    </row>
    <row r="319" spans="1:12" customHeight="1" ht="105" outlineLevel="4">
      <c r="A319" s="1"/>
      <c r="B319" s="1">
        <v>929929</v>
      </c>
      <c r="C319" s="1" t="s">
        <v>1007</v>
      </c>
      <c r="D319" s="1"/>
      <c r="E319" s="2" t="s">
        <v>1008</v>
      </c>
      <c r="F319" s="2" t="s">
        <v>1009</v>
      </c>
      <c r="G319" s="2" t="s">
        <v>74</v>
      </c>
      <c r="H319" s="2">
        <v>0</v>
      </c>
      <c r="I319" s="1">
        <v>0</v>
      </c>
      <c r="J319" s="3" t="s">
        <v>447</v>
      </c>
      <c r="K319" s="2" t="str">
        <f>J319*60.27</f>
        <v>0</v>
      </c>
      <c r="L319" s="5"/>
    </row>
    <row r="320" spans="1:12" customHeight="1" ht="105" outlineLevel="4">
      <c r="A320" s="1"/>
      <c r="B320" s="1">
        <v>929930</v>
      </c>
      <c r="C320" s="1" t="s">
        <v>1010</v>
      </c>
      <c r="D320" s="1"/>
      <c r="E320" s="2" t="s">
        <v>1011</v>
      </c>
      <c r="F320" s="2" t="s">
        <v>1012</v>
      </c>
      <c r="G320" s="2" t="s">
        <v>152</v>
      </c>
      <c r="H320" s="2">
        <v>0</v>
      </c>
      <c r="I320" s="1">
        <v>0</v>
      </c>
      <c r="J320" s="3" t="s">
        <v>447</v>
      </c>
      <c r="K320" s="2" t="str">
        <f>J320*106.68</f>
        <v>0</v>
      </c>
      <c r="L320" s="5"/>
    </row>
    <row r="321" spans="1:12" customHeight="1" ht="105" outlineLevel="4">
      <c r="A321" s="1"/>
      <c r="B321" s="1">
        <v>929931</v>
      </c>
      <c r="C321" s="1" t="s">
        <v>1013</v>
      </c>
      <c r="D321" s="1"/>
      <c r="E321" s="2" t="s">
        <v>1014</v>
      </c>
      <c r="F321" s="2" t="s">
        <v>1015</v>
      </c>
      <c r="G321" s="2">
        <v>0</v>
      </c>
      <c r="H321" s="2">
        <v>0</v>
      </c>
      <c r="I321" s="1">
        <v>0</v>
      </c>
      <c r="J321" s="3" t="s">
        <v>447</v>
      </c>
      <c r="K321" s="2" t="str">
        <f>J321*247.17</f>
        <v>0</v>
      </c>
      <c r="L321" s="5"/>
    </row>
    <row r="322" spans="1:12" customHeight="1" ht="105" outlineLevel="4">
      <c r="A322" s="1"/>
      <c r="B322" s="1">
        <v>929932</v>
      </c>
      <c r="C322" s="1" t="s">
        <v>1016</v>
      </c>
      <c r="D322" s="1"/>
      <c r="E322" s="2" t="s">
        <v>1017</v>
      </c>
      <c r="F322" s="2" t="s">
        <v>1018</v>
      </c>
      <c r="G322" s="2">
        <v>0</v>
      </c>
      <c r="H322" s="2">
        <v>0</v>
      </c>
      <c r="I322" s="1">
        <v>0</v>
      </c>
      <c r="J322" s="3" t="s">
        <v>447</v>
      </c>
      <c r="K322" s="2" t="str">
        <f>J322*391.86</f>
        <v>0</v>
      </c>
      <c r="L322" s="5"/>
    </row>
    <row r="323" spans="1:12" customHeight="1" ht="105" outlineLevel="4">
      <c r="A323" s="1"/>
      <c r="B323" s="1">
        <v>929933</v>
      </c>
      <c r="C323" s="1" t="s">
        <v>1019</v>
      </c>
      <c r="D323" s="1"/>
      <c r="E323" s="2" t="s">
        <v>1020</v>
      </c>
      <c r="F323" s="2" t="s">
        <v>1021</v>
      </c>
      <c r="G323" s="2">
        <v>0</v>
      </c>
      <c r="H323" s="2">
        <v>0</v>
      </c>
      <c r="I323" s="1">
        <v>0</v>
      </c>
      <c r="J323" s="3" t="s">
        <v>447</v>
      </c>
      <c r="K323" s="2" t="str">
        <f>J323*551.04</f>
        <v>0</v>
      </c>
      <c r="L323" s="5"/>
    </row>
    <row r="324" spans="1:12" customHeight="1" ht="105" outlineLevel="4">
      <c r="A324" s="1"/>
      <c r="B324" s="1">
        <v>929934</v>
      </c>
      <c r="C324" s="1" t="s">
        <v>1022</v>
      </c>
      <c r="D324" s="1"/>
      <c r="E324" s="2" t="s">
        <v>1023</v>
      </c>
      <c r="F324" s="2" t="s">
        <v>1024</v>
      </c>
      <c r="G324" s="2">
        <v>0</v>
      </c>
      <c r="H324" s="2">
        <v>0</v>
      </c>
      <c r="I324" s="1">
        <v>0</v>
      </c>
      <c r="J324" s="3" t="s">
        <v>447</v>
      </c>
      <c r="K324" s="2" t="str">
        <f>J324*1630.02</f>
        <v>0</v>
      </c>
      <c r="L324" s="5"/>
    </row>
    <row r="325" spans="1:12" customHeight="1" ht="105" outlineLevel="4">
      <c r="A325" s="1"/>
      <c r="B325" s="1">
        <v>929935</v>
      </c>
      <c r="C325" s="1" t="s">
        <v>1025</v>
      </c>
      <c r="D325" s="1"/>
      <c r="E325" s="2" t="s">
        <v>1026</v>
      </c>
      <c r="F325" s="2" t="s">
        <v>1027</v>
      </c>
      <c r="G325" s="2">
        <v>0</v>
      </c>
      <c r="H325" s="2">
        <v>0</v>
      </c>
      <c r="I325" s="1">
        <v>0</v>
      </c>
      <c r="J325" s="3" t="s">
        <v>447</v>
      </c>
      <c r="K325" s="2" t="str">
        <f>J325*1970.22</f>
        <v>0</v>
      </c>
      <c r="L325" s="5"/>
    </row>
    <row r="326" spans="1:12" customHeight="1" ht="105" outlineLevel="4">
      <c r="A326" s="1"/>
      <c r="B326" s="1">
        <v>929936</v>
      </c>
      <c r="C326" s="1" t="s">
        <v>1028</v>
      </c>
      <c r="D326" s="1"/>
      <c r="E326" s="2" t="s">
        <v>1029</v>
      </c>
      <c r="F326" s="2" t="s">
        <v>1030</v>
      </c>
      <c r="G326" s="2" t="s">
        <v>180</v>
      </c>
      <c r="H326" s="2">
        <v>0</v>
      </c>
      <c r="I326" s="1">
        <v>0</v>
      </c>
      <c r="J326" s="3" t="s">
        <v>447</v>
      </c>
      <c r="K326" s="2" t="str">
        <f>J326*7.55</f>
        <v>0</v>
      </c>
      <c r="L326" s="5"/>
    </row>
    <row r="327" spans="1:12" customHeight="1" ht="105" outlineLevel="4">
      <c r="A327" s="1"/>
      <c r="B327" s="1">
        <v>929937</v>
      </c>
      <c r="C327" s="1" t="s">
        <v>1031</v>
      </c>
      <c r="D327" s="1"/>
      <c r="E327" s="2" t="s">
        <v>1032</v>
      </c>
      <c r="F327" s="2" t="s">
        <v>1033</v>
      </c>
      <c r="G327" s="2" t="s">
        <v>180</v>
      </c>
      <c r="H327" s="2">
        <v>0</v>
      </c>
      <c r="I327" s="1">
        <v>0</v>
      </c>
      <c r="J327" s="3" t="s">
        <v>447</v>
      </c>
      <c r="K327" s="2" t="str">
        <f>J327*12.28</f>
        <v>0</v>
      </c>
      <c r="L327" s="5"/>
    </row>
    <row r="328" spans="1:12" customHeight="1" ht="105" outlineLevel="4">
      <c r="A328" s="1"/>
      <c r="B328" s="1">
        <v>929938</v>
      </c>
      <c r="C328" s="1" t="s">
        <v>1034</v>
      </c>
      <c r="D328" s="1"/>
      <c r="E328" s="2" t="s">
        <v>1035</v>
      </c>
      <c r="F328" s="2" t="s">
        <v>1036</v>
      </c>
      <c r="G328" s="2" t="s">
        <v>136</v>
      </c>
      <c r="H328" s="2">
        <v>0</v>
      </c>
      <c r="I328" s="1">
        <v>0</v>
      </c>
      <c r="J328" s="3" t="s">
        <v>447</v>
      </c>
      <c r="K328" s="2" t="str">
        <f>J328*24.93</f>
        <v>0</v>
      </c>
      <c r="L328" s="5"/>
    </row>
    <row r="329" spans="1:12" customHeight="1" ht="105" outlineLevel="4">
      <c r="A329" s="1"/>
      <c r="B329" s="1">
        <v>929939</v>
      </c>
      <c r="C329" s="1" t="s">
        <v>1037</v>
      </c>
      <c r="D329" s="1"/>
      <c r="E329" s="2" t="s">
        <v>1038</v>
      </c>
      <c r="F329" s="2" t="s">
        <v>1039</v>
      </c>
      <c r="G329" s="2" t="s">
        <v>58</v>
      </c>
      <c r="H329" s="2">
        <v>0</v>
      </c>
      <c r="I329" s="1">
        <v>0</v>
      </c>
      <c r="J329" s="3" t="s">
        <v>447</v>
      </c>
      <c r="K329" s="2" t="str">
        <f>J329*42.00</f>
        <v>0</v>
      </c>
      <c r="L329" s="5"/>
    </row>
    <row r="330" spans="1:12" customHeight="1" ht="105" outlineLevel="4">
      <c r="A330" s="1"/>
      <c r="B330" s="1">
        <v>929940</v>
      </c>
      <c r="C330" s="1" t="s">
        <v>1040</v>
      </c>
      <c r="D330" s="1"/>
      <c r="E330" s="2" t="s">
        <v>1041</v>
      </c>
      <c r="F330" s="2" t="s">
        <v>179</v>
      </c>
      <c r="G330" s="2" t="s">
        <v>58</v>
      </c>
      <c r="H330" s="2">
        <v>0</v>
      </c>
      <c r="I330" s="1">
        <v>0</v>
      </c>
      <c r="J330" s="3" t="s">
        <v>447</v>
      </c>
      <c r="K330" s="2" t="str">
        <f>J330*70.56</f>
        <v>0</v>
      </c>
      <c r="L330" s="5"/>
    </row>
    <row r="331" spans="1:12" customHeight="1" ht="105" outlineLevel="4">
      <c r="A331" s="1"/>
      <c r="B331" s="1">
        <v>929941</v>
      </c>
      <c r="C331" s="1" t="s">
        <v>1042</v>
      </c>
      <c r="D331" s="1"/>
      <c r="E331" s="2" t="s">
        <v>1043</v>
      </c>
      <c r="F331" s="2" t="s">
        <v>1044</v>
      </c>
      <c r="G331" s="2" t="s">
        <v>152</v>
      </c>
      <c r="H331" s="2">
        <v>0</v>
      </c>
      <c r="I331" s="1">
        <v>0</v>
      </c>
      <c r="J331" s="3" t="s">
        <v>447</v>
      </c>
      <c r="K331" s="2" t="str">
        <f>J331*140.70</f>
        <v>0</v>
      </c>
      <c r="L331" s="5"/>
    </row>
    <row r="332" spans="1:12" customHeight="1" ht="105" outlineLevel="4">
      <c r="A332" s="1"/>
      <c r="B332" s="1">
        <v>929942</v>
      </c>
      <c r="C332" s="1" t="s">
        <v>1045</v>
      </c>
      <c r="D332" s="1"/>
      <c r="E332" s="2" t="s">
        <v>1046</v>
      </c>
      <c r="F332" s="2" t="s">
        <v>1047</v>
      </c>
      <c r="G332" s="2">
        <v>0</v>
      </c>
      <c r="H332" s="2">
        <v>0</v>
      </c>
      <c r="I332" s="1">
        <v>0</v>
      </c>
      <c r="J332" s="3" t="s">
        <v>447</v>
      </c>
      <c r="K332" s="2" t="str">
        <f>J332*270.69</f>
        <v>0</v>
      </c>
      <c r="L332" s="5"/>
    </row>
    <row r="333" spans="1:12" customHeight="1" ht="105" outlineLevel="4">
      <c r="A333" s="1"/>
      <c r="B333" s="1">
        <v>929943</v>
      </c>
      <c r="C333" s="1" t="s">
        <v>1048</v>
      </c>
      <c r="D333" s="1"/>
      <c r="E333" s="2" t="s">
        <v>1049</v>
      </c>
      <c r="F333" s="2" t="s">
        <v>1050</v>
      </c>
      <c r="G333" s="2">
        <v>0</v>
      </c>
      <c r="H333" s="2">
        <v>0</v>
      </c>
      <c r="I333" s="1">
        <v>0</v>
      </c>
      <c r="J333" s="3" t="s">
        <v>447</v>
      </c>
      <c r="K333" s="2" t="str">
        <f>J333*410.55</f>
        <v>0</v>
      </c>
      <c r="L333" s="5"/>
    </row>
    <row r="334" spans="1:12" customHeight="1" ht="105" outlineLevel="4">
      <c r="A334" s="1"/>
      <c r="B334" s="1">
        <v>929944</v>
      </c>
      <c r="C334" s="1" t="s">
        <v>1051</v>
      </c>
      <c r="D334" s="1"/>
      <c r="E334" s="2" t="s">
        <v>1052</v>
      </c>
      <c r="F334" s="2" t="s">
        <v>1053</v>
      </c>
      <c r="G334" s="2">
        <v>0</v>
      </c>
      <c r="H334" s="2">
        <v>0</v>
      </c>
      <c r="I334" s="1">
        <v>0</v>
      </c>
      <c r="J334" s="3" t="s">
        <v>447</v>
      </c>
      <c r="K334" s="2" t="str">
        <f>J334*593.46</f>
        <v>0</v>
      </c>
      <c r="L334" s="5"/>
    </row>
    <row r="335" spans="1:12" customHeight="1" ht="105" outlineLevel="4">
      <c r="A335" s="1"/>
      <c r="B335" s="1">
        <v>929945</v>
      </c>
      <c r="C335" s="1" t="s">
        <v>1054</v>
      </c>
      <c r="D335" s="1"/>
      <c r="E335" s="2" t="s">
        <v>1055</v>
      </c>
      <c r="F335" s="2" t="s">
        <v>1056</v>
      </c>
      <c r="G335" s="2">
        <v>0</v>
      </c>
      <c r="H335" s="2">
        <v>0</v>
      </c>
      <c r="I335" s="1">
        <v>0</v>
      </c>
      <c r="J335" s="3" t="s">
        <v>447</v>
      </c>
      <c r="K335" s="2" t="str">
        <f>J335*1447.95</f>
        <v>0</v>
      </c>
      <c r="L335" s="5"/>
    </row>
    <row r="336" spans="1:12" customHeight="1" ht="105" outlineLevel="4">
      <c r="A336" s="1"/>
      <c r="B336" s="1">
        <v>929946</v>
      </c>
      <c r="C336" s="1" t="s">
        <v>1057</v>
      </c>
      <c r="D336" s="1"/>
      <c r="E336" s="2" t="s">
        <v>1058</v>
      </c>
      <c r="F336" s="2" t="s">
        <v>1059</v>
      </c>
      <c r="G336" s="2">
        <v>0</v>
      </c>
      <c r="H336" s="2">
        <v>0</v>
      </c>
      <c r="I336" s="1">
        <v>0</v>
      </c>
      <c r="J336" s="3" t="s">
        <v>447</v>
      </c>
      <c r="K336" s="2" t="str">
        <f>J336*2605.68</f>
        <v>0</v>
      </c>
      <c r="L336" s="5"/>
    </row>
    <row r="337" spans="1:12" customHeight="1" ht="105" outlineLevel="4">
      <c r="A337" s="1"/>
      <c r="B337" s="1">
        <v>929947</v>
      </c>
      <c r="C337" s="1" t="s">
        <v>1060</v>
      </c>
      <c r="D337" s="1"/>
      <c r="E337" s="2" t="s">
        <v>1061</v>
      </c>
      <c r="F337" s="2" t="s">
        <v>1062</v>
      </c>
      <c r="G337" s="2" t="s">
        <v>152</v>
      </c>
      <c r="H337" s="2">
        <v>0</v>
      </c>
      <c r="I337" s="1">
        <v>0</v>
      </c>
      <c r="J337" s="3" t="s">
        <v>447</v>
      </c>
      <c r="K337" s="2" t="str">
        <f>J337*11.55</f>
        <v>0</v>
      </c>
      <c r="L337" s="5"/>
    </row>
    <row r="338" spans="1:12" customHeight="1" ht="105" outlineLevel="4">
      <c r="A338" s="1"/>
      <c r="B338" s="1">
        <v>929948</v>
      </c>
      <c r="C338" s="1" t="s">
        <v>1063</v>
      </c>
      <c r="D338" s="1"/>
      <c r="E338" s="2" t="s">
        <v>1064</v>
      </c>
      <c r="F338" s="2" t="s">
        <v>578</v>
      </c>
      <c r="G338" s="2" t="s">
        <v>152</v>
      </c>
      <c r="H338" s="2">
        <v>0</v>
      </c>
      <c r="I338" s="1">
        <v>0</v>
      </c>
      <c r="J338" s="3" t="s">
        <v>447</v>
      </c>
      <c r="K338" s="2" t="str">
        <f>J338*16.17</f>
        <v>0</v>
      </c>
      <c r="L338" s="5"/>
    </row>
    <row r="339" spans="1:12" customHeight="1" ht="105" outlineLevel="4">
      <c r="A339" s="1"/>
      <c r="B339" s="1">
        <v>929949</v>
      </c>
      <c r="C339" s="1" t="s">
        <v>1065</v>
      </c>
      <c r="D339" s="1"/>
      <c r="E339" s="2" t="s">
        <v>1066</v>
      </c>
      <c r="F339" s="2" t="s">
        <v>488</v>
      </c>
      <c r="G339" s="2" t="s">
        <v>152</v>
      </c>
      <c r="H339" s="2">
        <v>0</v>
      </c>
      <c r="I339" s="1">
        <v>0</v>
      </c>
      <c r="J339" s="3" t="s">
        <v>447</v>
      </c>
      <c r="K339" s="2" t="str">
        <f>J339*21.84</f>
        <v>0</v>
      </c>
      <c r="L339" s="5"/>
    </row>
    <row r="340" spans="1:12" customHeight="1" ht="105" outlineLevel="4">
      <c r="A340" s="1"/>
      <c r="B340" s="1">
        <v>929950</v>
      </c>
      <c r="C340" s="1" t="s">
        <v>1067</v>
      </c>
      <c r="D340" s="1" t="s">
        <v>1068</v>
      </c>
      <c r="E340" s="2" t="s">
        <v>1069</v>
      </c>
      <c r="F340" s="2" t="s">
        <v>1070</v>
      </c>
      <c r="G340" s="2" t="s">
        <v>74</v>
      </c>
      <c r="H340" s="2">
        <v>0</v>
      </c>
      <c r="I340" s="1">
        <v>0</v>
      </c>
      <c r="J340" s="3" t="s">
        <v>447</v>
      </c>
      <c r="K340" s="2" t="str">
        <f>J340*11.13</f>
        <v>0</v>
      </c>
      <c r="L340" s="5"/>
    </row>
    <row r="341" spans="1:12" customHeight="1" ht="105" outlineLevel="4">
      <c r="A341" s="1"/>
      <c r="B341" s="1">
        <v>929951</v>
      </c>
      <c r="C341" s="1" t="s">
        <v>1071</v>
      </c>
      <c r="D341" s="1"/>
      <c r="E341" s="2" t="s">
        <v>1072</v>
      </c>
      <c r="F341" s="2" t="s">
        <v>1073</v>
      </c>
      <c r="G341" s="2" t="s">
        <v>153</v>
      </c>
      <c r="H341" s="2">
        <v>0</v>
      </c>
      <c r="I341" s="1">
        <v>0</v>
      </c>
      <c r="J341" s="3" t="s">
        <v>447</v>
      </c>
      <c r="K341" s="2" t="str">
        <f>J341*15.75</f>
        <v>0</v>
      </c>
      <c r="L341" s="5"/>
    </row>
    <row r="342" spans="1:12" customHeight="1" ht="105" outlineLevel="4">
      <c r="A342" s="1"/>
      <c r="B342" s="1">
        <v>929952</v>
      </c>
      <c r="C342" s="1" t="s">
        <v>1074</v>
      </c>
      <c r="D342" s="1"/>
      <c r="E342" s="2" t="s">
        <v>1075</v>
      </c>
      <c r="F342" s="2" t="s">
        <v>1076</v>
      </c>
      <c r="G342" s="2" t="s">
        <v>152</v>
      </c>
      <c r="H342" s="2">
        <v>0</v>
      </c>
      <c r="I342" s="1">
        <v>0</v>
      </c>
      <c r="J342" s="3" t="s">
        <v>447</v>
      </c>
      <c r="K342" s="2" t="str">
        <f>J342*14.70</f>
        <v>0</v>
      </c>
      <c r="L342" s="5"/>
    </row>
    <row r="343" spans="1:12" customHeight="1" ht="105" outlineLevel="4">
      <c r="A343" s="1"/>
      <c r="B343" s="1">
        <v>929953</v>
      </c>
      <c r="C343" s="1" t="s">
        <v>1077</v>
      </c>
      <c r="D343" s="1"/>
      <c r="E343" s="2" t="s">
        <v>1078</v>
      </c>
      <c r="F343" s="2" t="s">
        <v>1079</v>
      </c>
      <c r="G343" s="2" t="s">
        <v>153</v>
      </c>
      <c r="H343" s="2">
        <v>0</v>
      </c>
      <c r="I343" s="1">
        <v>0</v>
      </c>
      <c r="J343" s="3" t="s">
        <v>447</v>
      </c>
      <c r="K343" s="2" t="str">
        <f>J343*17.22</f>
        <v>0</v>
      </c>
      <c r="L343" s="5"/>
    </row>
    <row r="344" spans="1:12" customHeight="1" ht="105" outlineLevel="4">
      <c r="A344" s="1"/>
      <c r="B344" s="1">
        <v>929954</v>
      </c>
      <c r="C344" s="1" t="s">
        <v>1080</v>
      </c>
      <c r="D344" s="1"/>
      <c r="E344" s="2" t="s">
        <v>1081</v>
      </c>
      <c r="F344" s="2" t="s">
        <v>1082</v>
      </c>
      <c r="G344" s="2" t="s">
        <v>153</v>
      </c>
      <c r="H344" s="2">
        <v>0</v>
      </c>
      <c r="I344" s="1">
        <v>0</v>
      </c>
      <c r="J344" s="3" t="s">
        <v>447</v>
      </c>
      <c r="K344" s="2" t="str">
        <f>J344*21.42</f>
        <v>0</v>
      </c>
      <c r="L344" s="5"/>
    </row>
    <row r="345" spans="1:12" customHeight="1" ht="105" outlineLevel="4">
      <c r="A345" s="1"/>
      <c r="B345" s="1">
        <v>929955</v>
      </c>
      <c r="C345" s="1" t="s">
        <v>1083</v>
      </c>
      <c r="D345" s="1"/>
      <c r="E345" s="2" t="s">
        <v>1084</v>
      </c>
      <c r="F345" s="2" t="s">
        <v>1085</v>
      </c>
      <c r="G345" s="2" t="s">
        <v>58</v>
      </c>
      <c r="H345" s="2">
        <v>0</v>
      </c>
      <c r="I345" s="1">
        <v>0</v>
      </c>
      <c r="J345" s="3" t="s">
        <v>447</v>
      </c>
      <c r="K345" s="2" t="str">
        <f>J345*93.38</f>
        <v>0</v>
      </c>
      <c r="L345" s="5"/>
    </row>
    <row r="346" spans="1:12" customHeight="1" ht="105" outlineLevel="4">
      <c r="A346" s="1"/>
      <c r="B346" s="1">
        <v>929956</v>
      </c>
      <c r="C346" s="1" t="s">
        <v>1086</v>
      </c>
      <c r="D346" s="1"/>
      <c r="E346" s="2" t="s">
        <v>1087</v>
      </c>
      <c r="F346" s="2" t="s">
        <v>1088</v>
      </c>
      <c r="G346" s="2" t="s">
        <v>152</v>
      </c>
      <c r="H346" s="2">
        <v>0</v>
      </c>
      <c r="I346" s="1">
        <v>0</v>
      </c>
      <c r="J346" s="3" t="s">
        <v>447</v>
      </c>
      <c r="K346" s="2" t="str">
        <f>J346*92.19</f>
        <v>0</v>
      </c>
      <c r="L346" s="5"/>
    </row>
    <row r="347" spans="1:12" customHeight="1" ht="105" outlineLevel="4">
      <c r="A347" s="1"/>
      <c r="B347" s="1">
        <v>929957</v>
      </c>
      <c r="C347" s="1" t="s">
        <v>1089</v>
      </c>
      <c r="D347" s="1"/>
      <c r="E347" s="2" t="s">
        <v>1090</v>
      </c>
      <c r="F347" s="2" t="s">
        <v>1091</v>
      </c>
      <c r="G347" s="2" t="s">
        <v>152</v>
      </c>
      <c r="H347" s="2">
        <v>0</v>
      </c>
      <c r="I347" s="1">
        <v>0</v>
      </c>
      <c r="J347" s="3" t="s">
        <v>447</v>
      </c>
      <c r="K347" s="2" t="str">
        <f>J347*71.82</f>
        <v>0</v>
      </c>
      <c r="L347" s="5"/>
    </row>
    <row r="348" spans="1:12" customHeight="1" ht="105" outlineLevel="4">
      <c r="A348" s="1"/>
      <c r="B348" s="1">
        <v>929958</v>
      </c>
      <c r="C348" s="1" t="s">
        <v>1092</v>
      </c>
      <c r="D348" s="1"/>
      <c r="E348" s="2" t="s">
        <v>1093</v>
      </c>
      <c r="F348" s="2" t="s">
        <v>1094</v>
      </c>
      <c r="G348" s="2" t="s">
        <v>74</v>
      </c>
      <c r="H348" s="2">
        <v>0</v>
      </c>
      <c r="I348" s="1">
        <v>0</v>
      </c>
      <c r="J348" s="3" t="s">
        <v>447</v>
      </c>
      <c r="K348" s="2" t="str">
        <f>J348*94.29</f>
        <v>0</v>
      </c>
      <c r="L348" s="5"/>
    </row>
    <row r="349" spans="1:12" customHeight="1" ht="105" outlineLevel="4">
      <c r="A349" s="1"/>
      <c r="B349" s="1">
        <v>929959</v>
      </c>
      <c r="C349" s="1" t="s">
        <v>1095</v>
      </c>
      <c r="D349" s="1"/>
      <c r="E349" s="2" t="s">
        <v>1096</v>
      </c>
      <c r="F349" s="2" t="s">
        <v>1097</v>
      </c>
      <c r="G349" s="2" t="s">
        <v>74</v>
      </c>
      <c r="H349" s="2">
        <v>0</v>
      </c>
      <c r="I349" s="1">
        <v>0</v>
      </c>
      <c r="J349" s="3" t="s">
        <v>447</v>
      </c>
      <c r="K349" s="2" t="str">
        <f>J349*92.82</f>
        <v>0</v>
      </c>
      <c r="L349" s="5"/>
    </row>
    <row r="350" spans="1:12" customHeight="1" ht="105" outlineLevel="4">
      <c r="A350" s="1"/>
      <c r="B350" s="1">
        <v>929960</v>
      </c>
      <c r="C350" s="1" t="s">
        <v>1098</v>
      </c>
      <c r="D350" s="1"/>
      <c r="E350" s="2" t="s">
        <v>1099</v>
      </c>
      <c r="F350" s="2" t="s">
        <v>1100</v>
      </c>
      <c r="G350" s="2" t="s">
        <v>152</v>
      </c>
      <c r="H350" s="2">
        <v>0</v>
      </c>
      <c r="I350" s="1">
        <v>0</v>
      </c>
      <c r="J350" s="3" t="s">
        <v>447</v>
      </c>
      <c r="K350" s="2" t="str">
        <f>J350*108.57</f>
        <v>0</v>
      </c>
      <c r="L350" s="5"/>
    </row>
    <row r="351" spans="1:12" customHeight="1" ht="105" outlineLevel="4">
      <c r="A351" s="1"/>
      <c r="B351" s="1">
        <v>929961</v>
      </c>
      <c r="C351" s="1" t="s">
        <v>1101</v>
      </c>
      <c r="D351" s="1"/>
      <c r="E351" s="2" t="s">
        <v>1102</v>
      </c>
      <c r="F351" s="2" t="s">
        <v>1103</v>
      </c>
      <c r="G351" s="2" t="s">
        <v>152</v>
      </c>
      <c r="H351" s="2">
        <v>0</v>
      </c>
      <c r="I351" s="1">
        <v>0</v>
      </c>
      <c r="J351" s="3" t="s">
        <v>447</v>
      </c>
      <c r="K351" s="2" t="str">
        <f>J351*192.99</f>
        <v>0</v>
      </c>
      <c r="L351" s="5"/>
    </row>
    <row r="352" spans="1:12" customHeight="1" ht="105" outlineLevel="4">
      <c r="A352" s="1"/>
      <c r="B352" s="1">
        <v>929962</v>
      </c>
      <c r="C352" s="1" t="s">
        <v>1104</v>
      </c>
      <c r="D352" s="1"/>
      <c r="E352" s="2" t="s">
        <v>1105</v>
      </c>
      <c r="F352" s="2" t="s">
        <v>1106</v>
      </c>
      <c r="G352" s="2" t="s">
        <v>58</v>
      </c>
      <c r="H352" s="2">
        <v>0</v>
      </c>
      <c r="I352" s="1">
        <v>0</v>
      </c>
      <c r="J352" s="3" t="s">
        <v>447</v>
      </c>
      <c r="K352" s="2" t="str">
        <f>J352*119.99</f>
        <v>0</v>
      </c>
      <c r="L352" s="5"/>
    </row>
    <row r="353" spans="1:12" customHeight="1" ht="105" outlineLevel="4">
      <c r="A353" s="1"/>
      <c r="B353" s="1">
        <v>929963</v>
      </c>
      <c r="C353" s="1" t="s">
        <v>1107</v>
      </c>
      <c r="D353" s="1"/>
      <c r="E353" s="2" t="s">
        <v>1108</v>
      </c>
      <c r="F353" s="2" t="s">
        <v>1109</v>
      </c>
      <c r="G353" s="2" t="s">
        <v>74</v>
      </c>
      <c r="H353" s="2">
        <v>0</v>
      </c>
      <c r="I353" s="1">
        <v>0</v>
      </c>
      <c r="J353" s="3" t="s">
        <v>447</v>
      </c>
      <c r="K353" s="2" t="str">
        <f>J353*119.70</f>
        <v>0</v>
      </c>
      <c r="L353" s="5"/>
    </row>
    <row r="354" spans="1:12" customHeight="1" ht="105" outlineLevel="4">
      <c r="A354" s="1"/>
      <c r="B354" s="1">
        <v>929964</v>
      </c>
      <c r="C354" s="1" t="s">
        <v>1110</v>
      </c>
      <c r="D354" s="1"/>
      <c r="E354" s="2" t="s">
        <v>1111</v>
      </c>
      <c r="F354" s="2" t="s">
        <v>1112</v>
      </c>
      <c r="G354" s="2" t="s">
        <v>74</v>
      </c>
      <c r="H354" s="2">
        <v>0</v>
      </c>
      <c r="I354" s="1">
        <v>0</v>
      </c>
      <c r="J354" s="3" t="s">
        <v>447</v>
      </c>
      <c r="K354" s="2" t="str">
        <f>J354*87.36</f>
        <v>0</v>
      </c>
      <c r="L354" s="5"/>
    </row>
    <row r="355" spans="1:12" customHeight="1" ht="105" outlineLevel="4">
      <c r="A355" s="1"/>
      <c r="B355" s="1">
        <v>929965</v>
      </c>
      <c r="C355" s="1" t="s">
        <v>1113</v>
      </c>
      <c r="D355" s="1"/>
      <c r="E355" s="2" t="s">
        <v>1114</v>
      </c>
      <c r="F355" s="2" t="s">
        <v>1115</v>
      </c>
      <c r="G355" s="2" t="s">
        <v>74</v>
      </c>
      <c r="H355" s="2">
        <v>0</v>
      </c>
      <c r="I355" s="1">
        <v>0</v>
      </c>
      <c r="J355" s="3" t="s">
        <v>447</v>
      </c>
      <c r="K355" s="2" t="str">
        <f>J355*118.23</f>
        <v>0</v>
      </c>
      <c r="L355" s="5"/>
    </row>
    <row r="356" spans="1:12" customHeight="1" ht="105" outlineLevel="4">
      <c r="A356" s="1"/>
      <c r="B356" s="1">
        <v>929966</v>
      </c>
      <c r="C356" s="1" t="s">
        <v>1116</v>
      </c>
      <c r="D356" s="1"/>
      <c r="E356" s="2" t="s">
        <v>1117</v>
      </c>
      <c r="F356" s="2" t="s">
        <v>1118</v>
      </c>
      <c r="G356" s="2" t="s">
        <v>152</v>
      </c>
      <c r="H356" s="2">
        <v>0</v>
      </c>
      <c r="I356" s="1">
        <v>0</v>
      </c>
      <c r="J356" s="3" t="s">
        <v>447</v>
      </c>
      <c r="K356" s="2" t="str">
        <f>J356*115.92</f>
        <v>0</v>
      </c>
      <c r="L356" s="5"/>
    </row>
    <row r="357" spans="1:12" customHeight="1" ht="105" outlineLevel="4">
      <c r="A357" s="1"/>
      <c r="B357" s="1">
        <v>929967</v>
      </c>
      <c r="C357" s="1" t="s">
        <v>1119</v>
      </c>
      <c r="D357" s="1"/>
      <c r="E357" s="2" t="s">
        <v>1120</v>
      </c>
      <c r="F357" s="2" t="s">
        <v>1121</v>
      </c>
      <c r="G357" s="2" t="s">
        <v>153</v>
      </c>
      <c r="H357" s="2">
        <v>0</v>
      </c>
      <c r="I357" s="1" t="s">
        <v>153</v>
      </c>
      <c r="J357" s="3" t="s">
        <v>447</v>
      </c>
      <c r="K357" s="2" t="str">
        <f>J357*139.65</f>
        <v>0</v>
      </c>
      <c r="L357" s="5"/>
    </row>
    <row r="358" spans="1:12" customHeight="1" ht="105" outlineLevel="4">
      <c r="A358" s="1"/>
      <c r="B358" s="1">
        <v>929968</v>
      </c>
      <c r="C358" s="1" t="s">
        <v>1122</v>
      </c>
      <c r="D358" s="1"/>
      <c r="E358" s="2" t="s">
        <v>1123</v>
      </c>
      <c r="F358" s="2" t="s">
        <v>1124</v>
      </c>
      <c r="G358" s="2" t="s">
        <v>152</v>
      </c>
      <c r="H358" s="2">
        <v>0</v>
      </c>
      <c r="I358" s="1">
        <v>0</v>
      </c>
      <c r="J358" s="3" t="s">
        <v>447</v>
      </c>
      <c r="K358" s="2" t="str">
        <f>J358*211.26</f>
        <v>0</v>
      </c>
      <c r="L358" s="5"/>
    </row>
    <row r="359" spans="1:12" customHeight="1" ht="105" outlineLevel="4">
      <c r="A359" s="1"/>
      <c r="B359" s="1">
        <v>929969</v>
      </c>
      <c r="C359" s="1" t="s">
        <v>1125</v>
      </c>
      <c r="D359" s="1"/>
      <c r="E359" s="2" t="s">
        <v>1126</v>
      </c>
      <c r="F359" s="2" t="s">
        <v>1127</v>
      </c>
      <c r="G359" s="2">
        <v>0</v>
      </c>
      <c r="H359" s="2">
        <v>0</v>
      </c>
      <c r="I359" s="1">
        <v>0</v>
      </c>
      <c r="J359" s="3" t="s">
        <v>447</v>
      </c>
      <c r="K359" s="2" t="str">
        <f>J359*428.38</f>
        <v>0</v>
      </c>
      <c r="L359" s="5"/>
    </row>
    <row r="360" spans="1:12" customHeight="1" ht="105" outlineLevel="4">
      <c r="A360" s="1"/>
      <c r="B360" s="1">
        <v>929970</v>
      </c>
      <c r="C360" s="1" t="s">
        <v>1128</v>
      </c>
      <c r="D360" s="1"/>
      <c r="E360" s="2" t="s">
        <v>1129</v>
      </c>
      <c r="F360" s="2" t="s">
        <v>1130</v>
      </c>
      <c r="G360" s="2">
        <v>0</v>
      </c>
      <c r="H360" s="2">
        <v>0</v>
      </c>
      <c r="I360" s="1">
        <v>0</v>
      </c>
      <c r="J360" s="3" t="s">
        <v>447</v>
      </c>
      <c r="K360" s="2" t="str">
        <f>J360*539.86</f>
        <v>0</v>
      </c>
      <c r="L360" s="5"/>
    </row>
    <row r="361" spans="1:12" customHeight="1" ht="105" outlineLevel="4">
      <c r="A361" s="1"/>
      <c r="B361" s="1">
        <v>929971</v>
      </c>
      <c r="C361" s="1" t="s">
        <v>1131</v>
      </c>
      <c r="D361" s="1"/>
      <c r="E361" s="2" t="s">
        <v>1132</v>
      </c>
      <c r="F361" s="2" t="s">
        <v>1133</v>
      </c>
      <c r="G361" s="2" t="s">
        <v>58</v>
      </c>
      <c r="H361" s="2">
        <v>0</v>
      </c>
      <c r="I361" s="1">
        <v>0</v>
      </c>
      <c r="J361" s="3" t="s">
        <v>447</v>
      </c>
      <c r="K361" s="2" t="str">
        <f>J361*96.04</f>
        <v>0</v>
      </c>
      <c r="L361" s="5"/>
    </row>
    <row r="362" spans="1:12" customHeight="1" ht="105" outlineLevel="4">
      <c r="A362" s="1"/>
      <c r="B362" s="1">
        <v>929972</v>
      </c>
      <c r="C362" s="1" t="s">
        <v>1134</v>
      </c>
      <c r="D362" s="1"/>
      <c r="E362" s="2" t="s">
        <v>1135</v>
      </c>
      <c r="F362" s="2" t="s">
        <v>1136</v>
      </c>
      <c r="G362" s="2" t="s">
        <v>153</v>
      </c>
      <c r="H362" s="2">
        <v>0</v>
      </c>
      <c r="I362" s="1" t="s">
        <v>153</v>
      </c>
      <c r="J362" s="3" t="s">
        <v>447</v>
      </c>
      <c r="K362" s="2" t="str">
        <f>J362*80.64</f>
        <v>0</v>
      </c>
      <c r="L362" s="5"/>
    </row>
    <row r="363" spans="1:12" customHeight="1" ht="105" outlineLevel="4">
      <c r="A363" s="1"/>
      <c r="B363" s="1">
        <v>929973</v>
      </c>
      <c r="C363" s="1" t="s">
        <v>1137</v>
      </c>
      <c r="D363" s="1"/>
      <c r="E363" s="2" t="s">
        <v>1138</v>
      </c>
      <c r="F363" s="2" t="s">
        <v>1139</v>
      </c>
      <c r="G363" s="2" t="s">
        <v>74</v>
      </c>
      <c r="H363" s="2">
        <v>0</v>
      </c>
      <c r="I363" s="1">
        <v>0</v>
      </c>
      <c r="J363" s="3" t="s">
        <v>447</v>
      </c>
      <c r="K363" s="2" t="str">
        <f>J363*214.62</f>
        <v>0</v>
      </c>
      <c r="L363" s="5"/>
    </row>
    <row r="364" spans="1:12" customHeight="1" ht="105" outlineLevel="4">
      <c r="A364" s="1"/>
      <c r="B364" s="1">
        <v>929974</v>
      </c>
      <c r="C364" s="1" t="s">
        <v>1140</v>
      </c>
      <c r="D364" s="1"/>
      <c r="E364" s="2" t="s">
        <v>1141</v>
      </c>
      <c r="F364" s="2" t="s">
        <v>1142</v>
      </c>
      <c r="G364" s="2" t="s">
        <v>152</v>
      </c>
      <c r="H364" s="2">
        <v>0</v>
      </c>
      <c r="I364" s="1">
        <v>0</v>
      </c>
      <c r="J364" s="3" t="s">
        <v>447</v>
      </c>
      <c r="K364" s="2" t="str">
        <f>J364*125.51</f>
        <v>0</v>
      </c>
      <c r="L364" s="5"/>
    </row>
    <row r="365" spans="1:12" customHeight="1" ht="105" outlineLevel="4">
      <c r="A365" s="1"/>
      <c r="B365" s="1">
        <v>929975</v>
      </c>
      <c r="C365" s="1" t="s">
        <v>1143</v>
      </c>
      <c r="D365" s="1"/>
      <c r="E365" s="2" t="s">
        <v>1144</v>
      </c>
      <c r="F365" s="2" t="s">
        <v>1145</v>
      </c>
      <c r="G365" s="2" t="s">
        <v>153</v>
      </c>
      <c r="H365" s="2">
        <v>0</v>
      </c>
      <c r="I365" s="1">
        <v>0</v>
      </c>
      <c r="J365" s="3" t="s">
        <v>447</v>
      </c>
      <c r="K365" s="2" t="str">
        <f>J365*89.04</f>
        <v>0</v>
      </c>
      <c r="L365" s="5"/>
    </row>
    <row r="366" spans="1:12" customHeight="1" ht="105" outlineLevel="4">
      <c r="A366" s="1"/>
      <c r="B366" s="1">
        <v>929976</v>
      </c>
      <c r="C366" s="1" t="s">
        <v>1146</v>
      </c>
      <c r="D366" s="1"/>
      <c r="E366" s="2" t="s">
        <v>1147</v>
      </c>
      <c r="F366" s="2" t="s">
        <v>1148</v>
      </c>
      <c r="G366" s="2">
        <v>8</v>
      </c>
      <c r="H366" s="2">
        <v>0</v>
      </c>
      <c r="I366" s="1">
        <v>0</v>
      </c>
      <c r="J366" s="3" t="s">
        <v>447</v>
      </c>
      <c r="K366" s="2" t="str">
        <f>J366*375.83</f>
        <v>0</v>
      </c>
      <c r="L366" s="5"/>
    </row>
    <row r="367" spans="1:12" customHeight="1" ht="105" outlineLevel="4">
      <c r="A367" s="1"/>
      <c r="B367" s="1">
        <v>929977</v>
      </c>
      <c r="C367" s="1" t="s">
        <v>1149</v>
      </c>
      <c r="D367" s="1"/>
      <c r="E367" s="2" t="s">
        <v>1150</v>
      </c>
      <c r="F367" s="2" t="s">
        <v>1151</v>
      </c>
      <c r="G367" s="2" t="s">
        <v>153</v>
      </c>
      <c r="H367" s="2">
        <v>0</v>
      </c>
      <c r="I367" s="1">
        <v>0</v>
      </c>
      <c r="J367" s="3" t="s">
        <v>447</v>
      </c>
      <c r="K367" s="2" t="str">
        <f>J367*441.12</f>
        <v>0</v>
      </c>
      <c r="L367" s="5"/>
    </row>
    <row r="368" spans="1:12" customHeight="1" ht="105" outlineLevel="4">
      <c r="A368" s="1"/>
      <c r="B368" s="1">
        <v>929978</v>
      </c>
      <c r="C368" s="1" t="s">
        <v>1152</v>
      </c>
      <c r="D368" s="1"/>
      <c r="E368" s="2" t="s">
        <v>1153</v>
      </c>
      <c r="F368" s="2" t="s">
        <v>64</v>
      </c>
      <c r="G368" s="2" t="s">
        <v>74</v>
      </c>
      <c r="H368" s="2">
        <v>0</v>
      </c>
      <c r="I368" s="1" t="s">
        <v>152</v>
      </c>
      <c r="J368" s="3" t="s">
        <v>447</v>
      </c>
      <c r="K368" s="2" t="str">
        <f>J368*189.00</f>
        <v>0</v>
      </c>
      <c r="L368" s="5"/>
    </row>
    <row r="369" spans="1:12" customHeight="1" ht="105" outlineLevel="4">
      <c r="A369" s="1"/>
      <c r="B369" s="1">
        <v>929979</v>
      </c>
      <c r="C369" s="1" t="s">
        <v>1154</v>
      </c>
      <c r="D369" s="1"/>
      <c r="E369" s="2" t="s">
        <v>1155</v>
      </c>
      <c r="F369" s="2" t="s">
        <v>1156</v>
      </c>
      <c r="G369" s="2" t="s">
        <v>152</v>
      </c>
      <c r="H369" s="2">
        <v>0</v>
      </c>
      <c r="I369" s="1">
        <v>0</v>
      </c>
      <c r="J369" s="3" t="s">
        <v>447</v>
      </c>
      <c r="K369" s="2" t="str">
        <f>J369*145.32</f>
        <v>0</v>
      </c>
      <c r="L369" s="5"/>
    </row>
    <row r="370" spans="1:12" customHeight="1" ht="105" outlineLevel="4">
      <c r="A370" s="1"/>
      <c r="B370" s="1">
        <v>929980</v>
      </c>
      <c r="C370" s="1" t="s">
        <v>1157</v>
      </c>
      <c r="D370" s="1"/>
      <c r="E370" s="2" t="s">
        <v>1158</v>
      </c>
      <c r="F370" s="2" t="s">
        <v>1159</v>
      </c>
      <c r="G370" s="2" t="s">
        <v>152</v>
      </c>
      <c r="H370" s="2">
        <v>0</v>
      </c>
      <c r="I370" s="1">
        <v>0</v>
      </c>
      <c r="J370" s="3" t="s">
        <v>447</v>
      </c>
      <c r="K370" s="2" t="str">
        <f>J370*199.71</f>
        <v>0</v>
      </c>
      <c r="L370" s="5"/>
    </row>
    <row r="371" spans="1:12" customHeight="1" ht="105" outlineLevel="4">
      <c r="A371" s="1"/>
      <c r="B371" s="1">
        <v>929981</v>
      </c>
      <c r="C371" s="1" t="s">
        <v>1160</v>
      </c>
      <c r="D371" s="1"/>
      <c r="E371" s="2" t="s">
        <v>1161</v>
      </c>
      <c r="F371" s="2" t="s">
        <v>1162</v>
      </c>
      <c r="G371" s="2" t="s">
        <v>153</v>
      </c>
      <c r="H371" s="2">
        <v>0</v>
      </c>
      <c r="I371" s="1">
        <v>0</v>
      </c>
      <c r="J371" s="3" t="s">
        <v>447</v>
      </c>
      <c r="K371" s="2" t="str">
        <f>J371*210.00</f>
        <v>0</v>
      </c>
      <c r="L371" s="5"/>
    </row>
    <row r="372" spans="1:12" customHeight="1" ht="105" outlineLevel="4">
      <c r="A372" s="1"/>
      <c r="B372" s="1">
        <v>929982</v>
      </c>
      <c r="C372" s="1" t="s">
        <v>1163</v>
      </c>
      <c r="D372" s="1"/>
      <c r="E372" s="2" t="s">
        <v>1164</v>
      </c>
      <c r="F372" s="2" t="s">
        <v>1165</v>
      </c>
      <c r="G372" s="2" t="s">
        <v>153</v>
      </c>
      <c r="H372" s="2">
        <v>0</v>
      </c>
      <c r="I372" s="1">
        <v>0</v>
      </c>
      <c r="J372" s="3" t="s">
        <v>447</v>
      </c>
      <c r="K372" s="2" t="str">
        <f>J372*345.24</f>
        <v>0</v>
      </c>
      <c r="L372" s="5"/>
    </row>
    <row r="373" spans="1:12" customHeight="1" ht="105" outlineLevel="4">
      <c r="A373" s="1"/>
      <c r="B373" s="1">
        <v>929983</v>
      </c>
      <c r="C373" s="1" t="s">
        <v>1166</v>
      </c>
      <c r="D373" s="1"/>
      <c r="E373" s="2" t="s">
        <v>1167</v>
      </c>
      <c r="F373" s="2" t="s">
        <v>1168</v>
      </c>
      <c r="G373" s="2">
        <v>8</v>
      </c>
      <c r="H373" s="2">
        <v>0</v>
      </c>
      <c r="I373" s="1">
        <v>0</v>
      </c>
      <c r="J373" s="3" t="s">
        <v>447</v>
      </c>
      <c r="K373" s="2" t="str">
        <f>J373*363.09</f>
        <v>0</v>
      </c>
      <c r="L373" s="5"/>
    </row>
    <row r="374" spans="1:12" customHeight="1" ht="105" outlineLevel="4">
      <c r="A374" s="1"/>
      <c r="B374" s="1">
        <v>929984</v>
      </c>
      <c r="C374" s="1" t="s">
        <v>1169</v>
      </c>
      <c r="D374" s="1"/>
      <c r="E374" s="2" t="s">
        <v>1170</v>
      </c>
      <c r="F374" s="2" t="s">
        <v>1171</v>
      </c>
      <c r="G374" s="2" t="s">
        <v>153</v>
      </c>
      <c r="H374" s="2">
        <v>0</v>
      </c>
      <c r="I374" s="1">
        <v>0</v>
      </c>
      <c r="J374" s="3" t="s">
        <v>447</v>
      </c>
      <c r="K374" s="2" t="str">
        <f>J374*493.08</f>
        <v>0</v>
      </c>
      <c r="L374" s="5"/>
    </row>
    <row r="375" spans="1:12" customHeight="1" ht="105" outlineLevel="4">
      <c r="A375" s="1"/>
      <c r="B375" s="1">
        <v>929985</v>
      </c>
      <c r="C375" s="1" t="s">
        <v>1172</v>
      </c>
      <c r="D375" s="1"/>
      <c r="E375" s="2" t="s">
        <v>1173</v>
      </c>
      <c r="F375" s="2" t="s">
        <v>1174</v>
      </c>
      <c r="G375" s="2" t="s">
        <v>136</v>
      </c>
      <c r="H375" s="2">
        <v>0</v>
      </c>
      <c r="I375" s="1">
        <v>0</v>
      </c>
      <c r="J375" s="3" t="s">
        <v>447</v>
      </c>
      <c r="K375" s="2" t="str">
        <f>J375*9.90</f>
        <v>0</v>
      </c>
      <c r="L375" s="5"/>
    </row>
    <row r="376" spans="1:12" customHeight="1" ht="105" outlineLevel="4">
      <c r="A376" s="1"/>
      <c r="B376" s="1">
        <v>929986</v>
      </c>
      <c r="C376" s="1" t="s">
        <v>1175</v>
      </c>
      <c r="D376" s="1"/>
      <c r="E376" s="2" t="s">
        <v>1176</v>
      </c>
      <c r="F376" s="2" t="s">
        <v>1177</v>
      </c>
      <c r="G376" s="2" t="s">
        <v>136</v>
      </c>
      <c r="H376" s="2">
        <v>0</v>
      </c>
      <c r="I376" s="1">
        <v>0</v>
      </c>
      <c r="J376" s="3" t="s">
        <v>447</v>
      </c>
      <c r="K376" s="2" t="str">
        <f>J376*17.10</f>
        <v>0</v>
      </c>
      <c r="L376" s="5"/>
    </row>
    <row r="377" spans="1:12" customHeight="1" ht="105" outlineLevel="4">
      <c r="A377" s="1"/>
      <c r="B377" s="1">
        <v>929987</v>
      </c>
      <c r="C377" s="1" t="s">
        <v>1178</v>
      </c>
      <c r="D377" s="1"/>
      <c r="E377" s="2" t="s">
        <v>1179</v>
      </c>
      <c r="F377" s="2" t="s">
        <v>1180</v>
      </c>
      <c r="G377" s="2" t="s">
        <v>58</v>
      </c>
      <c r="H377" s="2">
        <v>0</v>
      </c>
      <c r="I377" s="1">
        <v>0</v>
      </c>
      <c r="J377" s="3" t="s">
        <v>447</v>
      </c>
      <c r="K377" s="2" t="str">
        <f>J377*32.67</f>
        <v>0</v>
      </c>
      <c r="L377" s="5"/>
    </row>
    <row r="378" spans="1:12" customHeight="1" ht="105" outlineLevel="4">
      <c r="A378" s="1"/>
      <c r="B378" s="1">
        <v>929988</v>
      </c>
      <c r="C378" s="1" t="s">
        <v>1181</v>
      </c>
      <c r="D378" s="1"/>
      <c r="E378" s="2" t="s">
        <v>1182</v>
      </c>
      <c r="F378" s="2" t="s">
        <v>1183</v>
      </c>
      <c r="G378" s="2" t="s">
        <v>152</v>
      </c>
      <c r="H378" s="2">
        <v>0</v>
      </c>
      <c r="I378" s="1">
        <v>0</v>
      </c>
      <c r="J378" s="3" t="s">
        <v>447</v>
      </c>
      <c r="K378" s="2" t="str">
        <f>J378*50.19</f>
        <v>0</v>
      </c>
      <c r="L378" s="5"/>
    </row>
    <row r="379" spans="1:12" customHeight="1" ht="105" outlineLevel="4">
      <c r="A379" s="1"/>
      <c r="B379" s="1">
        <v>929989</v>
      </c>
      <c r="C379" s="1" t="s">
        <v>1184</v>
      </c>
      <c r="D379" s="1"/>
      <c r="E379" s="2" t="s">
        <v>1185</v>
      </c>
      <c r="F379" s="2" t="s">
        <v>1186</v>
      </c>
      <c r="G379" s="2" t="s">
        <v>74</v>
      </c>
      <c r="H379" s="2">
        <v>0</v>
      </c>
      <c r="I379" s="1">
        <v>0</v>
      </c>
      <c r="J379" s="3" t="s">
        <v>447</v>
      </c>
      <c r="K379" s="2" t="str">
        <f>J379*90.30</f>
        <v>0</v>
      </c>
      <c r="L379" s="5"/>
    </row>
    <row r="380" spans="1:12" customHeight="1" ht="105" outlineLevel="4">
      <c r="A380" s="1"/>
      <c r="B380" s="1">
        <v>929990</v>
      </c>
      <c r="C380" s="1" t="s">
        <v>1187</v>
      </c>
      <c r="D380" s="1"/>
      <c r="E380" s="2" t="s">
        <v>1188</v>
      </c>
      <c r="F380" s="2" t="s">
        <v>1189</v>
      </c>
      <c r="G380" s="2" t="s">
        <v>153</v>
      </c>
      <c r="H380" s="2">
        <v>0</v>
      </c>
      <c r="I380" s="1">
        <v>0</v>
      </c>
      <c r="J380" s="3" t="s">
        <v>447</v>
      </c>
      <c r="K380" s="2" t="str">
        <f>J380*170.10</f>
        <v>0</v>
      </c>
      <c r="L380" s="5"/>
    </row>
    <row r="381" spans="1:12" customHeight="1" ht="105" outlineLevel="4">
      <c r="A381" s="1"/>
      <c r="B381" s="1">
        <v>929991</v>
      </c>
      <c r="C381" s="1" t="s">
        <v>1190</v>
      </c>
      <c r="D381" s="1"/>
      <c r="E381" s="2" t="s">
        <v>1191</v>
      </c>
      <c r="F381" s="2" t="s">
        <v>1192</v>
      </c>
      <c r="G381" s="2">
        <v>0</v>
      </c>
      <c r="H381" s="2">
        <v>0</v>
      </c>
      <c r="I381" s="1">
        <v>0</v>
      </c>
      <c r="J381" s="3" t="s">
        <v>447</v>
      </c>
      <c r="K381" s="2" t="str">
        <f>J381*310.38</f>
        <v>0</v>
      </c>
      <c r="L381" s="5"/>
    </row>
    <row r="382" spans="1:12" customHeight="1" ht="105" outlineLevel="4">
      <c r="A382" s="1"/>
      <c r="B382" s="1">
        <v>929992</v>
      </c>
      <c r="C382" s="1" t="s">
        <v>1193</v>
      </c>
      <c r="D382" s="1"/>
      <c r="E382" s="2" t="s">
        <v>1194</v>
      </c>
      <c r="F382" s="2" t="s">
        <v>1195</v>
      </c>
      <c r="G382" s="2">
        <v>0</v>
      </c>
      <c r="H382" s="2">
        <v>0</v>
      </c>
      <c r="I382" s="1">
        <v>0</v>
      </c>
      <c r="J382" s="3" t="s">
        <v>447</v>
      </c>
      <c r="K382" s="2" t="str">
        <f>J382*610.89</f>
        <v>0</v>
      </c>
      <c r="L382" s="5"/>
    </row>
    <row r="383" spans="1:12" customHeight="1" ht="105" outlineLevel="4">
      <c r="A383" s="1"/>
      <c r="B383" s="1">
        <v>929993</v>
      </c>
      <c r="C383" s="1" t="s">
        <v>1196</v>
      </c>
      <c r="D383" s="1"/>
      <c r="E383" s="2" t="s">
        <v>1197</v>
      </c>
      <c r="F383" s="2" t="s">
        <v>1198</v>
      </c>
      <c r="G383" s="2">
        <v>1</v>
      </c>
      <c r="H383" s="2">
        <v>0</v>
      </c>
      <c r="I383" s="1">
        <v>0</v>
      </c>
      <c r="J383" s="3" t="s">
        <v>447</v>
      </c>
      <c r="K383" s="2" t="str">
        <f>J383*878.43</f>
        <v>0</v>
      </c>
      <c r="L383" s="5"/>
    </row>
    <row r="384" spans="1:12" customHeight="1" ht="105" outlineLevel="4">
      <c r="A384" s="1"/>
      <c r="B384" s="1">
        <v>929994</v>
      </c>
      <c r="C384" s="1" t="s">
        <v>1199</v>
      </c>
      <c r="D384" s="1"/>
      <c r="E384" s="2" t="s">
        <v>1200</v>
      </c>
      <c r="F384" s="2" t="s">
        <v>1201</v>
      </c>
      <c r="G384" s="2">
        <v>0</v>
      </c>
      <c r="H384" s="2">
        <v>0</v>
      </c>
      <c r="I384" s="1">
        <v>0</v>
      </c>
      <c r="J384" s="3" t="s">
        <v>447</v>
      </c>
      <c r="K384" s="2" t="str">
        <f>J384*1870.68</f>
        <v>0</v>
      </c>
      <c r="L384" s="5"/>
    </row>
    <row r="385" spans="1:12" customHeight="1" ht="105" outlineLevel="4">
      <c r="A385" s="1"/>
      <c r="B385" s="1">
        <v>929995</v>
      </c>
      <c r="C385" s="1" t="s">
        <v>1202</v>
      </c>
      <c r="D385" s="1"/>
      <c r="E385" s="2" t="s">
        <v>1203</v>
      </c>
      <c r="F385" s="2" t="s">
        <v>1204</v>
      </c>
      <c r="G385" s="2">
        <v>0</v>
      </c>
      <c r="H385" s="2">
        <v>0</v>
      </c>
      <c r="I385" s="1">
        <v>0</v>
      </c>
      <c r="J385" s="3" t="s">
        <v>447</v>
      </c>
      <c r="K385" s="2" t="str">
        <f>J385*2559.90</f>
        <v>0</v>
      </c>
      <c r="L385" s="5"/>
    </row>
    <row r="386" spans="1:12" customHeight="1" ht="105" outlineLevel="4">
      <c r="A386" s="1"/>
      <c r="B386" s="1">
        <v>929996</v>
      </c>
      <c r="C386" s="1" t="s">
        <v>1205</v>
      </c>
      <c r="D386" s="1"/>
      <c r="E386" s="2" t="s">
        <v>1206</v>
      </c>
      <c r="F386" s="2" t="s">
        <v>1073</v>
      </c>
      <c r="G386" s="2" t="s">
        <v>136</v>
      </c>
      <c r="H386" s="2">
        <v>0</v>
      </c>
      <c r="I386" s="1">
        <v>0</v>
      </c>
      <c r="J386" s="3" t="s">
        <v>447</v>
      </c>
      <c r="K386" s="2" t="str">
        <f>J386*15.75</f>
        <v>0</v>
      </c>
      <c r="L386" s="5"/>
    </row>
    <row r="387" spans="1:12" customHeight="1" ht="105" outlineLevel="4">
      <c r="A387" s="1"/>
      <c r="B387" s="1">
        <v>929997</v>
      </c>
      <c r="C387" s="1" t="s">
        <v>1207</v>
      </c>
      <c r="D387" s="1"/>
      <c r="E387" s="2" t="s">
        <v>1208</v>
      </c>
      <c r="F387" s="2" t="s">
        <v>1209</v>
      </c>
      <c r="G387" s="2" t="s">
        <v>74</v>
      </c>
      <c r="H387" s="2">
        <v>0</v>
      </c>
      <c r="I387" s="1">
        <v>0</v>
      </c>
      <c r="J387" s="3" t="s">
        <v>447</v>
      </c>
      <c r="K387" s="2" t="str">
        <f>J387*17.43</f>
        <v>0</v>
      </c>
      <c r="L387" s="5"/>
    </row>
    <row r="388" spans="1:12" customHeight="1" ht="105" outlineLevel="4">
      <c r="A388" s="1"/>
      <c r="B388" s="1">
        <v>929998</v>
      </c>
      <c r="C388" s="1" t="s">
        <v>1210</v>
      </c>
      <c r="D388" s="1"/>
      <c r="E388" s="2" t="s">
        <v>1211</v>
      </c>
      <c r="F388" s="2" t="s">
        <v>1212</v>
      </c>
      <c r="G388" s="2" t="s">
        <v>58</v>
      </c>
      <c r="H388" s="2">
        <v>0</v>
      </c>
      <c r="I388" s="1">
        <v>0</v>
      </c>
      <c r="J388" s="3" t="s">
        <v>447</v>
      </c>
      <c r="K388" s="2" t="str">
        <f>J388*16.02</f>
        <v>0</v>
      </c>
      <c r="L388" s="5"/>
    </row>
    <row r="389" spans="1:12" customHeight="1" ht="105" outlineLevel="4">
      <c r="A389" s="1"/>
      <c r="B389" s="1">
        <v>929999</v>
      </c>
      <c r="C389" s="1" t="s">
        <v>1213</v>
      </c>
      <c r="D389" s="1"/>
      <c r="E389" s="2" t="s">
        <v>1214</v>
      </c>
      <c r="F389" s="2" t="s">
        <v>1215</v>
      </c>
      <c r="G389" s="2" t="s">
        <v>74</v>
      </c>
      <c r="H389" s="2">
        <v>0</v>
      </c>
      <c r="I389" s="1">
        <v>0</v>
      </c>
      <c r="J389" s="3" t="s">
        <v>447</v>
      </c>
      <c r="K389" s="2" t="str">
        <f>J389*20.37</f>
        <v>0</v>
      </c>
      <c r="L389" s="5"/>
    </row>
    <row r="390" spans="1:12" customHeight="1" ht="105" outlineLevel="4">
      <c r="A390" s="1"/>
      <c r="B390" s="1">
        <v>930000</v>
      </c>
      <c r="C390" s="1" t="s">
        <v>1216</v>
      </c>
      <c r="D390" s="1"/>
      <c r="E390" s="2" t="s">
        <v>1217</v>
      </c>
      <c r="F390" s="2" t="s">
        <v>1218</v>
      </c>
      <c r="G390" s="2" t="s">
        <v>152</v>
      </c>
      <c r="H390" s="2">
        <v>0</v>
      </c>
      <c r="I390" s="1">
        <v>0</v>
      </c>
      <c r="J390" s="3" t="s">
        <v>447</v>
      </c>
      <c r="K390" s="2" t="str">
        <f>J390*22.68</f>
        <v>0</v>
      </c>
      <c r="L390" s="5"/>
    </row>
    <row r="391" spans="1:12" customHeight="1" ht="105" outlineLevel="4">
      <c r="A391" s="1"/>
      <c r="B391" s="1">
        <v>930001</v>
      </c>
      <c r="C391" s="1" t="s">
        <v>1219</v>
      </c>
      <c r="D391" s="1"/>
      <c r="E391" s="2" t="s">
        <v>1220</v>
      </c>
      <c r="F391" s="2" t="s">
        <v>1221</v>
      </c>
      <c r="G391" s="2" t="s">
        <v>152</v>
      </c>
      <c r="H391" s="2">
        <v>0</v>
      </c>
      <c r="I391" s="1">
        <v>0</v>
      </c>
      <c r="J391" s="3" t="s">
        <v>447</v>
      </c>
      <c r="K391" s="2" t="str">
        <f>J391*30.87</f>
        <v>0</v>
      </c>
      <c r="L391" s="5"/>
    </row>
    <row r="392" spans="1:12" customHeight="1" ht="105" outlineLevel="4">
      <c r="A392" s="1"/>
      <c r="B392" s="1">
        <v>930002</v>
      </c>
      <c r="C392" s="1" t="s">
        <v>1222</v>
      </c>
      <c r="D392" s="1"/>
      <c r="E392" s="2" t="s">
        <v>1223</v>
      </c>
      <c r="F392" s="2" t="s">
        <v>1224</v>
      </c>
      <c r="G392" s="2" t="s">
        <v>58</v>
      </c>
      <c r="H392" s="2">
        <v>0</v>
      </c>
      <c r="I392" s="1">
        <v>0</v>
      </c>
      <c r="J392" s="3" t="s">
        <v>447</v>
      </c>
      <c r="K392" s="2" t="str">
        <f>J392*27.72</f>
        <v>0</v>
      </c>
      <c r="L392" s="5"/>
    </row>
    <row r="393" spans="1:12" customHeight="1" ht="105" outlineLevel="4">
      <c r="A393" s="1"/>
      <c r="B393" s="1">
        <v>930003</v>
      </c>
      <c r="C393" s="1" t="s">
        <v>1225</v>
      </c>
      <c r="D393" s="1"/>
      <c r="E393" s="2" t="s">
        <v>1226</v>
      </c>
      <c r="F393" s="2" t="s">
        <v>1227</v>
      </c>
      <c r="G393" s="2" t="s">
        <v>153</v>
      </c>
      <c r="H393" s="2">
        <v>0</v>
      </c>
      <c r="I393" s="1">
        <v>0</v>
      </c>
      <c r="J393" s="3" t="s">
        <v>447</v>
      </c>
      <c r="K393" s="2" t="str">
        <f>J393*25.62</f>
        <v>0</v>
      </c>
      <c r="L393" s="5"/>
    </row>
    <row r="394" spans="1:12" customHeight="1" ht="105" outlineLevel="4">
      <c r="A394" s="1"/>
      <c r="B394" s="1">
        <v>930004</v>
      </c>
      <c r="C394" s="1" t="s">
        <v>1228</v>
      </c>
      <c r="D394" s="1"/>
      <c r="E394" s="2" t="s">
        <v>1229</v>
      </c>
      <c r="F394" s="2" t="s">
        <v>1230</v>
      </c>
      <c r="G394" s="2" t="s">
        <v>152</v>
      </c>
      <c r="H394" s="2">
        <v>0</v>
      </c>
      <c r="I394" s="1">
        <v>0</v>
      </c>
      <c r="J394" s="3" t="s">
        <v>447</v>
      </c>
      <c r="K394" s="2" t="str">
        <f>J394*26.67</f>
        <v>0</v>
      </c>
      <c r="L394" s="5"/>
    </row>
    <row r="395" spans="1:12" customHeight="1" ht="105" outlineLevel="4">
      <c r="A395" s="1"/>
      <c r="B395" s="1">
        <v>930005</v>
      </c>
      <c r="C395" s="1" t="s">
        <v>1231</v>
      </c>
      <c r="D395" s="1"/>
      <c r="E395" s="2" t="s">
        <v>1232</v>
      </c>
      <c r="F395" s="2" t="s">
        <v>1233</v>
      </c>
      <c r="G395" s="2" t="s">
        <v>58</v>
      </c>
      <c r="H395" s="2">
        <v>0</v>
      </c>
      <c r="I395" s="1">
        <v>0</v>
      </c>
      <c r="J395" s="3" t="s">
        <v>447</v>
      </c>
      <c r="K395" s="2" t="str">
        <f>J395*27.90</f>
        <v>0</v>
      </c>
      <c r="L395" s="5"/>
    </row>
    <row r="396" spans="1:12" customHeight="1" ht="105" outlineLevel="4">
      <c r="A396" s="1"/>
      <c r="B396" s="1">
        <v>930006</v>
      </c>
      <c r="C396" s="1" t="s">
        <v>1234</v>
      </c>
      <c r="D396" s="1"/>
      <c r="E396" s="2" t="s">
        <v>1235</v>
      </c>
      <c r="F396" s="2" t="s">
        <v>1236</v>
      </c>
      <c r="G396" s="2">
        <v>0</v>
      </c>
      <c r="H396" s="2">
        <v>0</v>
      </c>
      <c r="I396" s="1">
        <v>0</v>
      </c>
      <c r="J396" s="3" t="s">
        <v>447</v>
      </c>
      <c r="K396" s="2" t="str">
        <f>J396*73.50</f>
        <v>0</v>
      </c>
      <c r="L396" s="5"/>
    </row>
    <row r="397" spans="1:12" customHeight="1" ht="105" outlineLevel="4">
      <c r="A397" s="1"/>
      <c r="B397" s="1">
        <v>930007</v>
      </c>
      <c r="C397" s="1" t="s">
        <v>1237</v>
      </c>
      <c r="D397" s="1"/>
      <c r="E397" s="2" t="s">
        <v>1238</v>
      </c>
      <c r="F397" s="2" t="s">
        <v>933</v>
      </c>
      <c r="G397" s="2" t="s">
        <v>152</v>
      </c>
      <c r="H397" s="2">
        <v>0</v>
      </c>
      <c r="I397" s="1">
        <v>0</v>
      </c>
      <c r="J397" s="3" t="s">
        <v>447</v>
      </c>
      <c r="K397" s="2" t="str">
        <f>J397*44.10</f>
        <v>0</v>
      </c>
      <c r="L397" s="5"/>
    </row>
    <row r="398" spans="1:12" customHeight="1" ht="105" outlineLevel="4">
      <c r="A398" s="1"/>
      <c r="B398" s="1">
        <v>930008</v>
      </c>
      <c r="C398" s="1" t="s">
        <v>1239</v>
      </c>
      <c r="D398" s="1"/>
      <c r="E398" s="2" t="s">
        <v>1240</v>
      </c>
      <c r="F398" s="2" t="s">
        <v>506</v>
      </c>
      <c r="G398" s="2" t="s">
        <v>152</v>
      </c>
      <c r="H398" s="2">
        <v>0</v>
      </c>
      <c r="I398" s="1" t="s">
        <v>74</v>
      </c>
      <c r="J398" s="3" t="s">
        <v>447</v>
      </c>
      <c r="K398" s="2" t="str">
        <f>J398*43.68</f>
        <v>0</v>
      </c>
      <c r="L398" s="5"/>
    </row>
    <row r="399" spans="1:12" customHeight="1" ht="105" outlineLevel="4">
      <c r="A399" s="1"/>
      <c r="B399" s="1">
        <v>930009</v>
      </c>
      <c r="C399" s="1" t="s">
        <v>1241</v>
      </c>
      <c r="D399" s="1"/>
      <c r="E399" s="2" t="s">
        <v>1242</v>
      </c>
      <c r="F399" s="2" t="s">
        <v>1243</v>
      </c>
      <c r="G399" s="2" t="s">
        <v>152</v>
      </c>
      <c r="H399" s="2">
        <v>0</v>
      </c>
      <c r="I399" s="1">
        <v>0</v>
      </c>
      <c r="J399" s="3" t="s">
        <v>447</v>
      </c>
      <c r="K399" s="2" t="str">
        <f>J399*47.67</f>
        <v>0</v>
      </c>
      <c r="L399" s="5"/>
    </row>
    <row r="400" spans="1:12" customHeight="1" ht="105" outlineLevel="4">
      <c r="A400" s="1"/>
      <c r="B400" s="1">
        <v>930010</v>
      </c>
      <c r="C400" s="1" t="s">
        <v>1244</v>
      </c>
      <c r="D400" s="1"/>
      <c r="E400" s="2" t="s">
        <v>1245</v>
      </c>
      <c r="F400" s="2" t="s">
        <v>605</v>
      </c>
      <c r="G400" s="2" t="s">
        <v>74</v>
      </c>
      <c r="H400" s="2">
        <v>0</v>
      </c>
      <c r="I400" s="1">
        <v>0</v>
      </c>
      <c r="J400" s="3" t="s">
        <v>447</v>
      </c>
      <c r="K400" s="2" t="str">
        <f>J400*47.25</f>
        <v>0</v>
      </c>
      <c r="L400" s="5"/>
    </row>
    <row r="401" spans="1:12" customHeight="1" ht="105" outlineLevel="4">
      <c r="A401" s="1"/>
      <c r="B401" s="1">
        <v>930011</v>
      </c>
      <c r="C401" s="1" t="s">
        <v>1246</v>
      </c>
      <c r="D401" s="1"/>
      <c r="E401" s="2" t="s">
        <v>1247</v>
      </c>
      <c r="F401" s="2" t="s">
        <v>947</v>
      </c>
      <c r="G401" s="2" t="s">
        <v>152</v>
      </c>
      <c r="H401" s="2">
        <v>0</v>
      </c>
      <c r="I401" s="1">
        <v>0</v>
      </c>
      <c r="J401" s="3" t="s">
        <v>447</v>
      </c>
      <c r="K401" s="2" t="str">
        <f>J401*83.79</f>
        <v>0</v>
      </c>
      <c r="L401" s="5"/>
    </row>
    <row r="402" spans="1:12" customHeight="1" ht="105" outlineLevel="4">
      <c r="A402" s="1"/>
      <c r="B402" s="1">
        <v>930012</v>
      </c>
      <c r="C402" s="1" t="s">
        <v>1248</v>
      </c>
      <c r="D402" s="1"/>
      <c r="E402" s="2" t="s">
        <v>1249</v>
      </c>
      <c r="F402" s="2" t="s">
        <v>1250</v>
      </c>
      <c r="G402" s="2" t="s">
        <v>153</v>
      </c>
      <c r="H402" s="2">
        <v>0</v>
      </c>
      <c r="I402" s="1">
        <v>0</v>
      </c>
      <c r="J402" s="3" t="s">
        <v>447</v>
      </c>
      <c r="K402" s="2" t="str">
        <f>J402*55.02</f>
        <v>0</v>
      </c>
      <c r="L402" s="5"/>
    </row>
    <row r="403" spans="1:12" customHeight="1" ht="105" outlineLevel="4">
      <c r="A403" s="1"/>
      <c r="B403" s="1">
        <v>930013</v>
      </c>
      <c r="C403" s="1" t="s">
        <v>1251</v>
      </c>
      <c r="D403" s="1"/>
      <c r="E403" s="2" t="s">
        <v>1252</v>
      </c>
      <c r="F403" s="2" t="s">
        <v>1253</v>
      </c>
      <c r="G403" s="2" t="s">
        <v>153</v>
      </c>
      <c r="H403" s="2">
        <v>0</v>
      </c>
      <c r="I403" s="1" t="s">
        <v>153</v>
      </c>
      <c r="J403" s="3" t="s">
        <v>447</v>
      </c>
      <c r="K403" s="2" t="str">
        <f>J403*75.60</f>
        <v>0</v>
      </c>
      <c r="L403" s="5"/>
    </row>
    <row r="404" spans="1:12" customHeight="1" ht="105" outlineLevel="4">
      <c r="A404" s="1"/>
      <c r="B404" s="1">
        <v>930014</v>
      </c>
      <c r="C404" s="1" t="s">
        <v>1254</v>
      </c>
      <c r="D404" s="1"/>
      <c r="E404" s="2" t="s">
        <v>1255</v>
      </c>
      <c r="F404" s="2" t="s">
        <v>1256</v>
      </c>
      <c r="G404" s="2" t="s">
        <v>153</v>
      </c>
      <c r="H404" s="2">
        <v>0</v>
      </c>
      <c r="I404" s="1">
        <v>0</v>
      </c>
      <c r="J404" s="3" t="s">
        <v>447</v>
      </c>
      <c r="K404" s="2" t="str">
        <f>J404*70.35</f>
        <v>0</v>
      </c>
      <c r="L404" s="5"/>
    </row>
    <row r="405" spans="1:12" customHeight="1" ht="105" outlineLevel="4">
      <c r="A405" s="1"/>
      <c r="B405" s="1">
        <v>930015</v>
      </c>
      <c r="C405" s="1" t="s">
        <v>1257</v>
      </c>
      <c r="D405" s="1"/>
      <c r="E405" s="2" t="s">
        <v>1258</v>
      </c>
      <c r="F405" s="2" t="s">
        <v>1236</v>
      </c>
      <c r="G405" s="2" t="s">
        <v>153</v>
      </c>
      <c r="H405" s="2">
        <v>0</v>
      </c>
      <c r="I405" s="1">
        <v>0</v>
      </c>
      <c r="J405" s="3" t="s">
        <v>447</v>
      </c>
      <c r="K405" s="2" t="str">
        <f>J405*73.50</f>
        <v>0</v>
      </c>
      <c r="L405" s="5"/>
    </row>
    <row r="406" spans="1:12" customHeight="1" ht="105" outlineLevel="4">
      <c r="A406" s="1"/>
      <c r="B406" s="1">
        <v>930016</v>
      </c>
      <c r="C406" s="1" t="s">
        <v>1259</v>
      </c>
      <c r="D406" s="1"/>
      <c r="E406" s="2" t="s">
        <v>1260</v>
      </c>
      <c r="F406" s="2" t="s">
        <v>1261</v>
      </c>
      <c r="G406" s="2" t="s">
        <v>152</v>
      </c>
      <c r="H406" s="2">
        <v>0</v>
      </c>
      <c r="I406" s="1">
        <v>0</v>
      </c>
      <c r="J406" s="3" t="s">
        <v>447</v>
      </c>
      <c r="K406" s="2" t="str">
        <f>J406*83.16</f>
        <v>0</v>
      </c>
      <c r="L406" s="5"/>
    </row>
    <row r="407" spans="1:12" customHeight="1" ht="105" outlineLevel="4">
      <c r="A407" s="1"/>
      <c r="B407" s="1">
        <v>930017</v>
      </c>
      <c r="C407" s="1" t="s">
        <v>1262</v>
      </c>
      <c r="D407" s="1"/>
      <c r="E407" s="2" t="s">
        <v>1263</v>
      </c>
      <c r="F407" s="2" t="s">
        <v>1264</v>
      </c>
      <c r="G407" s="2" t="s">
        <v>153</v>
      </c>
      <c r="H407" s="2">
        <v>0</v>
      </c>
      <c r="I407" s="1">
        <v>0</v>
      </c>
      <c r="J407" s="3" t="s">
        <v>447</v>
      </c>
      <c r="K407" s="2" t="str">
        <f>J407*76.23</f>
        <v>0</v>
      </c>
      <c r="L407" s="5"/>
    </row>
    <row r="408" spans="1:12" customHeight="1" ht="105" outlineLevel="4">
      <c r="A408" s="1"/>
      <c r="B408" s="1">
        <v>930018</v>
      </c>
      <c r="C408" s="1" t="s">
        <v>1265</v>
      </c>
      <c r="D408" s="1"/>
      <c r="E408" s="2" t="s">
        <v>1266</v>
      </c>
      <c r="F408" s="2" t="s">
        <v>1267</v>
      </c>
      <c r="G408" s="2" t="s">
        <v>153</v>
      </c>
      <c r="H408" s="2">
        <v>0</v>
      </c>
      <c r="I408" s="1">
        <v>0</v>
      </c>
      <c r="J408" s="3" t="s">
        <v>447</v>
      </c>
      <c r="K408" s="2" t="str">
        <f>J408*88.20</f>
        <v>0</v>
      </c>
      <c r="L408" s="5"/>
    </row>
    <row r="409" spans="1:12" customHeight="1" ht="105" outlineLevel="4">
      <c r="A409" s="1"/>
      <c r="B409" s="1">
        <v>930019</v>
      </c>
      <c r="C409" s="1" t="s">
        <v>1268</v>
      </c>
      <c r="D409" s="1"/>
      <c r="E409" s="2" t="s">
        <v>1269</v>
      </c>
      <c r="F409" s="2" t="s">
        <v>1270</v>
      </c>
      <c r="G409" s="2" t="s">
        <v>153</v>
      </c>
      <c r="H409" s="2">
        <v>0</v>
      </c>
      <c r="I409" s="1">
        <v>0</v>
      </c>
      <c r="J409" s="3" t="s">
        <v>447</v>
      </c>
      <c r="K409" s="2" t="str">
        <f>J409*96.39</f>
        <v>0</v>
      </c>
      <c r="L409" s="5"/>
    </row>
    <row r="410" spans="1:12" customHeight="1" ht="105" outlineLevel="4">
      <c r="A410" s="1"/>
      <c r="B410" s="1">
        <v>930020</v>
      </c>
      <c r="C410" s="1" t="s">
        <v>1271</v>
      </c>
      <c r="D410" s="1"/>
      <c r="E410" s="2" t="s">
        <v>1272</v>
      </c>
      <c r="F410" s="2" t="s">
        <v>1273</v>
      </c>
      <c r="G410" s="2" t="s">
        <v>153</v>
      </c>
      <c r="H410" s="2">
        <v>0</v>
      </c>
      <c r="I410" s="1">
        <v>0</v>
      </c>
      <c r="J410" s="3" t="s">
        <v>447</v>
      </c>
      <c r="K410" s="2" t="str">
        <f>J410*93.45</f>
        <v>0</v>
      </c>
      <c r="L410" s="5"/>
    </row>
    <row r="411" spans="1:12" customHeight="1" ht="105" outlineLevel="4">
      <c r="A411" s="1"/>
      <c r="B411" s="1">
        <v>930021</v>
      </c>
      <c r="C411" s="1" t="s">
        <v>1274</v>
      </c>
      <c r="D411" s="1"/>
      <c r="E411" s="2" t="s">
        <v>1275</v>
      </c>
      <c r="F411" s="2" t="s">
        <v>1115</v>
      </c>
      <c r="G411" s="2" t="s">
        <v>153</v>
      </c>
      <c r="H411" s="2">
        <v>0</v>
      </c>
      <c r="I411" s="1">
        <v>0</v>
      </c>
      <c r="J411" s="3" t="s">
        <v>447</v>
      </c>
      <c r="K411" s="2" t="str">
        <f>J411*118.23</f>
        <v>0</v>
      </c>
      <c r="L411" s="5"/>
    </row>
    <row r="412" spans="1:12" customHeight="1" ht="105" outlineLevel="4">
      <c r="A412" s="1"/>
      <c r="B412" s="1">
        <v>930022</v>
      </c>
      <c r="C412" s="1" t="s">
        <v>1276</v>
      </c>
      <c r="D412" s="1"/>
      <c r="E412" s="2" t="s">
        <v>1277</v>
      </c>
      <c r="F412" s="2" t="s">
        <v>1278</v>
      </c>
      <c r="G412" s="2" t="s">
        <v>153</v>
      </c>
      <c r="H412" s="2">
        <v>0</v>
      </c>
      <c r="I412" s="1">
        <v>0</v>
      </c>
      <c r="J412" s="3" t="s">
        <v>447</v>
      </c>
      <c r="K412" s="2" t="str">
        <f>J412*124.32</f>
        <v>0</v>
      </c>
      <c r="L412" s="5"/>
    </row>
    <row r="413" spans="1:12" customHeight="1" ht="105" outlineLevel="4">
      <c r="A413" s="1"/>
      <c r="B413" s="1">
        <v>930023</v>
      </c>
      <c r="C413" s="1" t="s">
        <v>1279</v>
      </c>
      <c r="D413" s="1"/>
      <c r="E413" s="2" t="s">
        <v>1280</v>
      </c>
      <c r="F413" s="2" t="s">
        <v>1281</v>
      </c>
      <c r="G413" s="2" t="s">
        <v>153</v>
      </c>
      <c r="H413" s="2">
        <v>0</v>
      </c>
      <c r="I413" s="1">
        <v>0</v>
      </c>
      <c r="J413" s="3" t="s">
        <v>447</v>
      </c>
      <c r="K413" s="2" t="str">
        <f>J413*129.15</f>
        <v>0</v>
      </c>
      <c r="L413" s="5"/>
    </row>
    <row r="414" spans="1:12" customHeight="1" ht="105" outlineLevel="4">
      <c r="A414" s="1"/>
      <c r="B414" s="1">
        <v>930024</v>
      </c>
      <c r="C414" s="1" t="s">
        <v>1282</v>
      </c>
      <c r="D414" s="1"/>
      <c r="E414" s="2" t="s">
        <v>1283</v>
      </c>
      <c r="F414" s="2" t="s">
        <v>1284</v>
      </c>
      <c r="G414" s="2">
        <v>8</v>
      </c>
      <c r="H414" s="2">
        <v>0</v>
      </c>
      <c r="I414" s="1">
        <v>0</v>
      </c>
      <c r="J414" s="3" t="s">
        <v>447</v>
      </c>
      <c r="K414" s="2" t="str">
        <f>J414*131.88</f>
        <v>0</v>
      </c>
      <c r="L414" s="5"/>
    </row>
    <row r="415" spans="1:12" customHeight="1" ht="105" outlineLevel="4">
      <c r="A415" s="1"/>
      <c r="B415" s="1">
        <v>930025</v>
      </c>
      <c r="C415" s="1" t="s">
        <v>1285</v>
      </c>
      <c r="D415" s="1"/>
      <c r="E415" s="2" t="s">
        <v>1286</v>
      </c>
      <c r="F415" s="2" t="s">
        <v>1287</v>
      </c>
      <c r="G415" s="2" t="s">
        <v>153</v>
      </c>
      <c r="H415" s="2">
        <v>0</v>
      </c>
      <c r="I415" s="1">
        <v>0</v>
      </c>
      <c r="J415" s="3" t="s">
        <v>447</v>
      </c>
      <c r="K415" s="2" t="str">
        <f>J415*152.88</f>
        <v>0</v>
      </c>
      <c r="L415" s="5"/>
    </row>
    <row r="416" spans="1:12" customHeight="1" ht="105" outlineLevel="4">
      <c r="A416" s="1"/>
      <c r="B416" s="1">
        <v>930026</v>
      </c>
      <c r="C416" s="1" t="s">
        <v>1288</v>
      </c>
      <c r="D416" s="1"/>
      <c r="E416" s="2" t="s">
        <v>1289</v>
      </c>
      <c r="F416" s="2" t="s">
        <v>1290</v>
      </c>
      <c r="G416" s="2" t="s">
        <v>153</v>
      </c>
      <c r="H416" s="2">
        <v>0</v>
      </c>
      <c r="I416" s="1">
        <v>0</v>
      </c>
      <c r="J416" s="3" t="s">
        <v>447</v>
      </c>
      <c r="K416" s="2" t="str">
        <f>J416*165.27</f>
        <v>0</v>
      </c>
      <c r="L416" s="5"/>
    </row>
    <row r="417" spans="1:12" customHeight="1" ht="105" outlineLevel="4">
      <c r="A417" s="1"/>
      <c r="B417" s="1">
        <v>930027</v>
      </c>
      <c r="C417" s="1" t="s">
        <v>1291</v>
      </c>
      <c r="D417" s="1"/>
      <c r="E417" s="2" t="s">
        <v>1292</v>
      </c>
      <c r="F417" s="2" t="s">
        <v>1293</v>
      </c>
      <c r="G417" s="2">
        <v>0</v>
      </c>
      <c r="H417" s="2">
        <v>0</v>
      </c>
      <c r="I417" s="1">
        <v>0</v>
      </c>
      <c r="J417" s="3" t="s">
        <v>447</v>
      </c>
      <c r="K417" s="2" t="str">
        <f>J417*212.31</f>
        <v>0</v>
      </c>
      <c r="L417" s="5"/>
    </row>
    <row r="418" spans="1:12" customHeight="1" ht="105" outlineLevel="4">
      <c r="A418" s="1"/>
      <c r="B418" s="1">
        <v>930028</v>
      </c>
      <c r="C418" s="1" t="s">
        <v>1294</v>
      </c>
      <c r="D418" s="1"/>
      <c r="E418" s="2" t="s">
        <v>1295</v>
      </c>
      <c r="F418" s="2" t="s">
        <v>1296</v>
      </c>
      <c r="G418" s="2">
        <v>0</v>
      </c>
      <c r="H418" s="2">
        <v>0</v>
      </c>
      <c r="I418" s="1">
        <v>0</v>
      </c>
      <c r="J418" s="3" t="s">
        <v>447</v>
      </c>
      <c r="K418" s="2" t="str">
        <f>J418*271.11</f>
        <v>0</v>
      </c>
      <c r="L418" s="5"/>
    </row>
    <row r="419" spans="1:12" customHeight="1" ht="105" outlineLevel="4">
      <c r="A419" s="1"/>
      <c r="B419" s="1">
        <v>930029</v>
      </c>
      <c r="C419" s="1" t="s">
        <v>1297</v>
      </c>
      <c r="D419" s="1"/>
      <c r="E419" s="2" t="s">
        <v>1298</v>
      </c>
      <c r="F419" s="2" t="s">
        <v>1299</v>
      </c>
      <c r="G419" s="2">
        <v>0</v>
      </c>
      <c r="H419" s="2">
        <v>0</v>
      </c>
      <c r="I419" s="1">
        <v>0</v>
      </c>
      <c r="J419" s="3" t="s">
        <v>447</v>
      </c>
      <c r="K419" s="2" t="str">
        <f>J419*305.97</f>
        <v>0</v>
      </c>
      <c r="L419" s="5"/>
    </row>
    <row r="420" spans="1:12" customHeight="1" ht="105" outlineLevel="4">
      <c r="A420" s="1"/>
      <c r="B420" s="1">
        <v>930030</v>
      </c>
      <c r="C420" s="1" t="s">
        <v>1300</v>
      </c>
      <c r="D420" s="1"/>
      <c r="E420" s="2" t="s">
        <v>1301</v>
      </c>
      <c r="F420" s="2" t="s">
        <v>1302</v>
      </c>
      <c r="G420" s="2">
        <v>0</v>
      </c>
      <c r="H420" s="2">
        <v>0</v>
      </c>
      <c r="I420" s="1">
        <v>0</v>
      </c>
      <c r="J420" s="3" t="s">
        <v>447</v>
      </c>
      <c r="K420" s="2" t="str">
        <f>J420*336.84</f>
        <v>0</v>
      </c>
      <c r="L420" s="5"/>
    </row>
    <row r="421" spans="1:12" customHeight="1" ht="105" outlineLevel="4">
      <c r="A421" s="1"/>
      <c r="B421" s="1">
        <v>930031</v>
      </c>
      <c r="C421" s="1" t="s">
        <v>1303</v>
      </c>
      <c r="D421" s="1"/>
      <c r="E421" s="2" t="s">
        <v>1304</v>
      </c>
      <c r="F421" s="2" t="s">
        <v>1305</v>
      </c>
      <c r="G421" s="2">
        <v>0</v>
      </c>
      <c r="H421" s="2">
        <v>0</v>
      </c>
      <c r="I421" s="1">
        <v>0</v>
      </c>
      <c r="J421" s="3" t="s">
        <v>447</v>
      </c>
      <c r="K421" s="2" t="str">
        <f>J421*340.83</f>
        <v>0</v>
      </c>
      <c r="L421" s="5"/>
    </row>
    <row r="422" spans="1:12" customHeight="1" ht="105" outlineLevel="4">
      <c r="A422" s="1"/>
      <c r="B422" s="1">
        <v>930032</v>
      </c>
      <c r="C422" s="1" t="s">
        <v>1306</v>
      </c>
      <c r="D422" s="1"/>
      <c r="E422" s="2" t="s">
        <v>1307</v>
      </c>
      <c r="F422" s="2" t="s">
        <v>1308</v>
      </c>
      <c r="G422" s="2">
        <v>0</v>
      </c>
      <c r="H422" s="2">
        <v>0</v>
      </c>
      <c r="I422" s="1">
        <v>0</v>
      </c>
      <c r="J422" s="3" t="s">
        <v>447</v>
      </c>
      <c r="K422" s="2" t="str">
        <f>J422*378.63</f>
        <v>0</v>
      </c>
      <c r="L422" s="5"/>
    </row>
    <row r="423" spans="1:12" customHeight="1" ht="105" outlineLevel="4">
      <c r="A423" s="1"/>
      <c r="B423" s="1">
        <v>930033</v>
      </c>
      <c r="C423" s="1" t="s">
        <v>1309</v>
      </c>
      <c r="D423" s="1"/>
      <c r="E423" s="2" t="s">
        <v>1310</v>
      </c>
      <c r="F423" s="2" t="s">
        <v>1311</v>
      </c>
      <c r="G423" s="2">
        <v>0</v>
      </c>
      <c r="H423" s="2">
        <v>0</v>
      </c>
      <c r="I423" s="1">
        <v>0</v>
      </c>
      <c r="J423" s="3" t="s">
        <v>447</v>
      </c>
      <c r="K423" s="2" t="str">
        <f>J423*535.29</f>
        <v>0</v>
      </c>
      <c r="L423" s="5"/>
    </row>
    <row r="424" spans="1:12" customHeight="1" ht="105" outlineLevel="4">
      <c r="A424" s="1"/>
      <c r="B424" s="1">
        <v>930034</v>
      </c>
      <c r="C424" s="1" t="s">
        <v>1312</v>
      </c>
      <c r="D424" s="1"/>
      <c r="E424" s="2" t="s">
        <v>1313</v>
      </c>
      <c r="F424" s="2" t="s">
        <v>1314</v>
      </c>
      <c r="G424" s="2">
        <v>0</v>
      </c>
      <c r="H424" s="2">
        <v>0</v>
      </c>
      <c r="I424" s="1">
        <v>0</v>
      </c>
      <c r="J424" s="3" t="s">
        <v>447</v>
      </c>
      <c r="K424" s="2" t="str">
        <f>J424*561.12</f>
        <v>0</v>
      </c>
      <c r="L424" s="5"/>
    </row>
    <row r="425" spans="1:12" customHeight="1" ht="105" outlineLevel="4">
      <c r="A425" s="1"/>
      <c r="B425" s="1">
        <v>930035</v>
      </c>
      <c r="C425" s="1" t="s">
        <v>1315</v>
      </c>
      <c r="D425" s="1"/>
      <c r="E425" s="2" t="s">
        <v>1316</v>
      </c>
      <c r="F425" s="2" t="s">
        <v>1317</v>
      </c>
      <c r="G425" s="2">
        <v>0</v>
      </c>
      <c r="H425" s="2">
        <v>0</v>
      </c>
      <c r="I425" s="1">
        <v>0</v>
      </c>
      <c r="J425" s="3" t="s">
        <v>447</v>
      </c>
      <c r="K425" s="2" t="str">
        <f>J425*596.40</f>
        <v>0</v>
      </c>
      <c r="L425" s="5"/>
    </row>
    <row r="426" spans="1:12" customHeight="1" ht="105" outlineLevel="4">
      <c r="A426" s="1"/>
      <c r="B426" s="1">
        <v>930036</v>
      </c>
      <c r="C426" s="1" t="s">
        <v>1318</v>
      </c>
      <c r="D426" s="1"/>
      <c r="E426" s="2" t="s">
        <v>1319</v>
      </c>
      <c r="F426" s="2" t="s">
        <v>1320</v>
      </c>
      <c r="G426" s="2">
        <v>0</v>
      </c>
      <c r="H426" s="2">
        <v>0</v>
      </c>
      <c r="I426" s="1">
        <v>0</v>
      </c>
      <c r="J426" s="3" t="s">
        <v>447</v>
      </c>
      <c r="K426" s="2" t="str">
        <f>J426*629.16</f>
        <v>0</v>
      </c>
      <c r="L426" s="5"/>
    </row>
    <row r="427" spans="1:12" customHeight="1" ht="105" outlineLevel="4">
      <c r="A427" s="1"/>
      <c r="B427" s="1">
        <v>930037</v>
      </c>
      <c r="C427" s="1" t="s">
        <v>1321</v>
      </c>
      <c r="D427" s="1"/>
      <c r="E427" s="2" t="s">
        <v>1322</v>
      </c>
      <c r="F427" s="2" t="s">
        <v>1323</v>
      </c>
      <c r="G427" s="2">
        <v>0</v>
      </c>
      <c r="H427" s="2">
        <v>0</v>
      </c>
      <c r="I427" s="1">
        <v>0</v>
      </c>
      <c r="J427" s="3" t="s">
        <v>447</v>
      </c>
      <c r="K427" s="2" t="str">
        <f>J427*656.46</f>
        <v>0</v>
      </c>
      <c r="L427" s="5"/>
    </row>
    <row r="428" spans="1:12" customHeight="1" ht="105" outlineLevel="4">
      <c r="A428" s="1"/>
      <c r="B428" s="1">
        <v>930038</v>
      </c>
      <c r="C428" s="1" t="s">
        <v>1324</v>
      </c>
      <c r="D428" s="1"/>
      <c r="E428" s="2" t="s">
        <v>1325</v>
      </c>
      <c r="F428" s="2" t="s">
        <v>1326</v>
      </c>
      <c r="G428" s="2">
        <v>0</v>
      </c>
      <c r="H428" s="2">
        <v>0</v>
      </c>
      <c r="I428" s="1">
        <v>0</v>
      </c>
      <c r="J428" s="3" t="s">
        <v>447</v>
      </c>
      <c r="K428" s="2" t="str">
        <f>J428*880.53</f>
        <v>0</v>
      </c>
      <c r="L428" s="5"/>
    </row>
    <row r="429" spans="1:12" customHeight="1" ht="105" outlineLevel="4">
      <c r="A429" s="1"/>
      <c r="B429" s="1">
        <v>930039</v>
      </c>
      <c r="C429" s="1" t="s">
        <v>1327</v>
      </c>
      <c r="D429" s="1"/>
      <c r="E429" s="2" t="s">
        <v>1328</v>
      </c>
      <c r="F429" s="2" t="s">
        <v>1329</v>
      </c>
      <c r="G429" s="2">
        <v>0</v>
      </c>
      <c r="H429" s="2">
        <v>0</v>
      </c>
      <c r="I429" s="1">
        <v>0</v>
      </c>
      <c r="J429" s="3" t="s">
        <v>447</v>
      </c>
      <c r="K429" s="2" t="str">
        <f>J429*760.62</f>
        <v>0</v>
      </c>
      <c r="L429" s="5"/>
    </row>
    <row r="430" spans="1:12" customHeight="1" ht="105" outlineLevel="4">
      <c r="A430" s="1"/>
      <c r="B430" s="1">
        <v>930040</v>
      </c>
      <c r="C430" s="1" t="s">
        <v>1330</v>
      </c>
      <c r="D430" s="1"/>
      <c r="E430" s="2" t="s">
        <v>1331</v>
      </c>
      <c r="F430" s="2" t="s">
        <v>1332</v>
      </c>
      <c r="G430" s="2">
        <v>0</v>
      </c>
      <c r="H430" s="2">
        <v>0</v>
      </c>
      <c r="I430" s="1">
        <v>0</v>
      </c>
      <c r="J430" s="3" t="s">
        <v>447</v>
      </c>
      <c r="K430" s="2" t="str">
        <f>J430*1916.88</f>
        <v>0</v>
      </c>
      <c r="L430" s="5"/>
    </row>
    <row r="431" spans="1:12" customHeight="1" ht="105" outlineLevel="4">
      <c r="A431" s="1"/>
      <c r="B431" s="1">
        <v>930041</v>
      </c>
      <c r="C431" s="1" t="s">
        <v>1333</v>
      </c>
      <c r="D431" s="1"/>
      <c r="E431" s="2" t="s">
        <v>1334</v>
      </c>
      <c r="F431" s="2" t="s">
        <v>1335</v>
      </c>
      <c r="G431" s="2" t="s">
        <v>58</v>
      </c>
      <c r="H431" s="2">
        <v>0</v>
      </c>
      <c r="I431" s="1">
        <v>0</v>
      </c>
      <c r="J431" s="3" t="s">
        <v>447</v>
      </c>
      <c r="K431" s="2" t="str">
        <f>J431*15.12</f>
        <v>0</v>
      </c>
      <c r="L431" s="5"/>
    </row>
    <row r="432" spans="1:12" customHeight="1" ht="105" outlineLevel="4">
      <c r="A432" s="1"/>
      <c r="B432" s="1">
        <v>930042</v>
      </c>
      <c r="C432" s="1" t="s">
        <v>1336</v>
      </c>
      <c r="D432" s="1"/>
      <c r="E432" s="2" t="s">
        <v>1337</v>
      </c>
      <c r="F432" s="2" t="s">
        <v>1338</v>
      </c>
      <c r="G432" s="2" t="s">
        <v>74</v>
      </c>
      <c r="H432" s="2">
        <v>0</v>
      </c>
      <c r="I432" s="1">
        <v>0</v>
      </c>
      <c r="J432" s="3" t="s">
        <v>447</v>
      </c>
      <c r="K432" s="2" t="str">
        <f>J432*20.58</f>
        <v>0</v>
      </c>
      <c r="L432" s="5"/>
    </row>
    <row r="433" spans="1:12" customHeight="1" ht="105" outlineLevel="4">
      <c r="A433" s="1"/>
      <c r="B433" s="1">
        <v>930043</v>
      </c>
      <c r="C433" s="1" t="s">
        <v>1339</v>
      </c>
      <c r="D433" s="1"/>
      <c r="E433" s="2" t="s">
        <v>1340</v>
      </c>
      <c r="F433" s="2" t="s">
        <v>1341</v>
      </c>
      <c r="G433" s="2" t="s">
        <v>58</v>
      </c>
      <c r="H433" s="2">
        <v>0</v>
      </c>
      <c r="I433" s="1">
        <v>0</v>
      </c>
      <c r="J433" s="3" t="s">
        <v>447</v>
      </c>
      <c r="K433" s="2" t="str">
        <f>J433*77.49</f>
        <v>0</v>
      </c>
      <c r="L433" s="5"/>
    </row>
    <row r="434" spans="1:12" customHeight="1" ht="105" outlineLevel="4">
      <c r="A434" s="1"/>
      <c r="B434" s="1">
        <v>930044</v>
      </c>
      <c r="C434" s="1" t="s">
        <v>1342</v>
      </c>
      <c r="D434" s="1"/>
      <c r="E434" s="2" t="s">
        <v>1343</v>
      </c>
      <c r="F434" s="2" t="s">
        <v>1344</v>
      </c>
      <c r="G434" s="2" t="s">
        <v>152</v>
      </c>
      <c r="H434" s="2">
        <v>0</v>
      </c>
      <c r="I434" s="1">
        <v>0</v>
      </c>
      <c r="J434" s="3" t="s">
        <v>447</v>
      </c>
      <c r="K434" s="2" t="str">
        <f>J434*84.00</f>
        <v>0</v>
      </c>
      <c r="L434" s="5"/>
    </row>
    <row r="435" spans="1:12" customHeight="1" ht="105" outlineLevel="4">
      <c r="A435" s="1"/>
      <c r="B435" s="1">
        <v>930045</v>
      </c>
      <c r="C435" s="1" t="s">
        <v>1345</v>
      </c>
      <c r="D435" s="1"/>
      <c r="E435" s="2" t="s">
        <v>1346</v>
      </c>
      <c r="F435" s="2" t="s">
        <v>1347</v>
      </c>
      <c r="G435" s="2" t="s">
        <v>152</v>
      </c>
      <c r="H435" s="2">
        <v>0</v>
      </c>
      <c r="I435" s="1">
        <v>0</v>
      </c>
      <c r="J435" s="3" t="s">
        <v>447</v>
      </c>
      <c r="K435" s="2" t="str">
        <f>J435*79.17</f>
        <v>0</v>
      </c>
      <c r="L435" s="5"/>
    </row>
    <row r="436" spans="1:12" customHeight="1" ht="105" outlineLevel="4">
      <c r="A436" s="1"/>
      <c r="B436" s="1">
        <v>930046</v>
      </c>
      <c r="C436" s="1" t="s">
        <v>1348</v>
      </c>
      <c r="D436" s="1"/>
      <c r="E436" s="2" t="s">
        <v>1349</v>
      </c>
      <c r="F436" s="2" t="s">
        <v>1350</v>
      </c>
      <c r="G436" s="2" t="s">
        <v>152</v>
      </c>
      <c r="H436" s="2">
        <v>0</v>
      </c>
      <c r="I436" s="1">
        <v>0</v>
      </c>
      <c r="J436" s="3" t="s">
        <v>447</v>
      </c>
      <c r="K436" s="2" t="str">
        <f>J436*102.06</f>
        <v>0</v>
      </c>
      <c r="L436" s="5"/>
    </row>
    <row r="437" spans="1:12" customHeight="1" ht="105" outlineLevel="4">
      <c r="A437" s="1"/>
      <c r="B437" s="1">
        <v>930047</v>
      </c>
      <c r="C437" s="1" t="s">
        <v>1351</v>
      </c>
      <c r="D437" s="1"/>
      <c r="E437" s="2" t="s">
        <v>1352</v>
      </c>
      <c r="F437" s="2" t="s">
        <v>1353</v>
      </c>
      <c r="G437" s="2" t="s">
        <v>153</v>
      </c>
      <c r="H437" s="2">
        <v>0</v>
      </c>
      <c r="I437" s="1">
        <v>10</v>
      </c>
      <c r="J437" s="3" t="s">
        <v>447</v>
      </c>
      <c r="K437" s="2" t="str">
        <f>J437*107.52</f>
        <v>0</v>
      </c>
      <c r="L437" s="5"/>
    </row>
    <row r="438" spans="1:12" customHeight="1" ht="105" outlineLevel="4">
      <c r="A438" s="1"/>
      <c r="B438" s="1">
        <v>930048</v>
      </c>
      <c r="C438" s="1" t="s">
        <v>1354</v>
      </c>
      <c r="D438" s="1"/>
      <c r="E438" s="2" t="s">
        <v>1355</v>
      </c>
      <c r="F438" s="2" t="s">
        <v>1356</v>
      </c>
      <c r="G438" s="2" t="s">
        <v>152</v>
      </c>
      <c r="H438" s="2">
        <v>0</v>
      </c>
      <c r="I438" s="1">
        <v>0</v>
      </c>
      <c r="J438" s="3" t="s">
        <v>447</v>
      </c>
      <c r="K438" s="2" t="str">
        <f>J438*118.86</f>
        <v>0</v>
      </c>
      <c r="L438" s="5"/>
    </row>
    <row r="439" spans="1:12" customHeight="1" ht="105" outlineLevel="4">
      <c r="A439" s="1"/>
      <c r="B439" s="1">
        <v>930049</v>
      </c>
      <c r="C439" s="1" t="s">
        <v>1357</v>
      </c>
      <c r="D439" s="1"/>
      <c r="E439" s="2" t="s">
        <v>1358</v>
      </c>
      <c r="F439" s="2" t="s">
        <v>64</v>
      </c>
      <c r="G439" s="2" t="s">
        <v>153</v>
      </c>
      <c r="H439" s="2">
        <v>0</v>
      </c>
      <c r="I439" s="1">
        <v>0</v>
      </c>
      <c r="J439" s="3" t="s">
        <v>447</v>
      </c>
      <c r="K439" s="2" t="str">
        <f>J439*189.00</f>
        <v>0</v>
      </c>
      <c r="L439" s="5"/>
    </row>
    <row r="440" spans="1:12" customHeight="1" ht="105" outlineLevel="4">
      <c r="A440" s="1"/>
      <c r="B440" s="1">
        <v>930050</v>
      </c>
      <c r="C440" s="1" t="s">
        <v>1359</v>
      </c>
      <c r="D440" s="1"/>
      <c r="E440" s="2" t="s">
        <v>1360</v>
      </c>
      <c r="F440" s="2" t="s">
        <v>1361</v>
      </c>
      <c r="G440" s="2" t="s">
        <v>153</v>
      </c>
      <c r="H440" s="2">
        <v>0</v>
      </c>
      <c r="I440" s="1">
        <v>0</v>
      </c>
      <c r="J440" s="3" t="s">
        <v>447</v>
      </c>
      <c r="K440" s="2" t="str">
        <f>J440*91.77</f>
        <v>0</v>
      </c>
      <c r="L440" s="5"/>
    </row>
    <row r="441" spans="1:12" customHeight="1" ht="105" outlineLevel="4">
      <c r="A441" s="1"/>
      <c r="B441" s="1">
        <v>930051</v>
      </c>
      <c r="C441" s="1" t="s">
        <v>1362</v>
      </c>
      <c r="D441" s="1"/>
      <c r="E441" s="2" t="s">
        <v>1363</v>
      </c>
      <c r="F441" s="2" t="s">
        <v>1364</v>
      </c>
      <c r="G441" s="2" t="s">
        <v>74</v>
      </c>
      <c r="H441" s="2">
        <v>0</v>
      </c>
      <c r="I441" s="1">
        <v>0</v>
      </c>
      <c r="J441" s="3" t="s">
        <v>447</v>
      </c>
      <c r="K441" s="2" t="str">
        <f>J441*92.40</f>
        <v>0</v>
      </c>
      <c r="L441" s="5"/>
    </row>
    <row r="442" spans="1:12" customHeight="1" ht="105" outlineLevel="4">
      <c r="A442" s="1"/>
      <c r="B442" s="1">
        <v>930052</v>
      </c>
      <c r="C442" s="1" t="s">
        <v>1365</v>
      </c>
      <c r="D442" s="1"/>
      <c r="E442" s="2" t="s">
        <v>1366</v>
      </c>
      <c r="F442" s="2" t="s">
        <v>1097</v>
      </c>
      <c r="G442" s="2" t="s">
        <v>74</v>
      </c>
      <c r="H442" s="2">
        <v>0</v>
      </c>
      <c r="I442" s="1">
        <v>0</v>
      </c>
      <c r="J442" s="3" t="s">
        <v>447</v>
      </c>
      <c r="K442" s="2" t="str">
        <f>J442*92.82</f>
        <v>0</v>
      </c>
      <c r="L442" s="5"/>
    </row>
    <row r="443" spans="1:12" customHeight="1" ht="105" outlineLevel="4">
      <c r="A443" s="1"/>
      <c r="B443" s="1">
        <v>930053</v>
      </c>
      <c r="C443" s="1" t="s">
        <v>1367</v>
      </c>
      <c r="D443" s="1"/>
      <c r="E443" s="2" t="s">
        <v>1368</v>
      </c>
      <c r="F443" s="2" t="s">
        <v>1369</v>
      </c>
      <c r="G443" s="2" t="s">
        <v>152</v>
      </c>
      <c r="H443" s="2">
        <v>0</v>
      </c>
      <c r="I443" s="1">
        <v>0</v>
      </c>
      <c r="J443" s="3" t="s">
        <v>447</v>
      </c>
      <c r="K443" s="2" t="str">
        <f>J443*120.75</f>
        <v>0</v>
      </c>
      <c r="L443" s="5"/>
    </row>
    <row r="444" spans="1:12" customHeight="1" ht="105" outlineLevel="4">
      <c r="A444" s="1"/>
      <c r="B444" s="1">
        <v>930054</v>
      </c>
      <c r="C444" s="1" t="s">
        <v>1370</v>
      </c>
      <c r="D444" s="1"/>
      <c r="E444" s="2" t="s">
        <v>1371</v>
      </c>
      <c r="F444" s="2" t="s">
        <v>1372</v>
      </c>
      <c r="G444" s="2" t="s">
        <v>74</v>
      </c>
      <c r="H444" s="2">
        <v>0</v>
      </c>
      <c r="I444" s="1">
        <v>0</v>
      </c>
      <c r="J444" s="3" t="s">
        <v>447</v>
      </c>
      <c r="K444" s="2" t="str">
        <f>J444*112.35</f>
        <v>0</v>
      </c>
      <c r="L444" s="5"/>
    </row>
    <row r="445" spans="1:12" customHeight="1" ht="105" outlineLevel="4">
      <c r="A445" s="1"/>
      <c r="B445" s="1">
        <v>930055</v>
      </c>
      <c r="C445" s="1" t="s">
        <v>1373</v>
      </c>
      <c r="D445" s="1"/>
      <c r="E445" s="2" t="s">
        <v>1374</v>
      </c>
      <c r="F445" s="2" t="s">
        <v>1375</v>
      </c>
      <c r="G445" s="2" t="s">
        <v>152</v>
      </c>
      <c r="H445" s="2">
        <v>0</v>
      </c>
      <c r="I445" s="1">
        <v>0</v>
      </c>
      <c r="J445" s="3" t="s">
        <v>447</v>
      </c>
      <c r="K445" s="2" t="str">
        <f>J445*137.76</f>
        <v>0</v>
      </c>
      <c r="L445" s="5"/>
    </row>
    <row r="446" spans="1:12" customHeight="1" ht="105" outlineLevel="4">
      <c r="A446" s="1"/>
      <c r="B446" s="1">
        <v>930056</v>
      </c>
      <c r="C446" s="1" t="s">
        <v>1376</v>
      </c>
      <c r="D446" s="1"/>
      <c r="E446" s="2" t="s">
        <v>1377</v>
      </c>
      <c r="F446" s="2" t="s">
        <v>1378</v>
      </c>
      <c r="G446" s="2" t="s">
        <v>153</v>
      </c>
      <c r="H446" s="2">
        <v>0</v>
      </c>
      <c r="I446" s="1">
        <v>0</v>
      </c>
      <c r="J446" s="3" t="s">
        <v>447</v>
      </c>
      <c r="K446" s="2" t="str">
        <f>J446*209.79</f>
        <v>0</v>
      </c>
      <c r="L446" s="5"/>
    </row>
    <row r="447" spans="1:12" customHeight="1" ht="105" outlineLevel="4">
      <c r="A447" s="1"/>
      <c r="B447" s="1">
        <v>930057</v>
      </c>
      <c r="C447" s="1" t="s">
        <v>1379</v>
      </c>
      <c r="D447" s="1"/>
      <c r="E447" s="2" t="s">
        <v>1380</v>
      </c>
      <c r="F447" s="2" t="s">
        <v>1381</v>
      </c>
      <c r="G447" s="2" t="s">
        <v>152</v>
      </c>
      <c r="H447" s="2">
        <v>0</v>
      </c>
      <c r="I447" s="1">
        <v>0</v>
      </c>
      <c r="J447" s="3" t="s">
        <v>447</v>
      </c>
      <c r="K447" s="2" t="str">
        <f>J447*145.74</f>
        <v>0</v>
      </c>
      <c r="L447" s="5"/>
    </row>
    <row r="448" spans="1:12" customHeight="1" ht="105" outlineLevel="4">
      <c r="A448" s="1"/>
      <c r="B448" s="1">
        <v>930058</v>
      </c>
      <c r="C448" s="1" t="s">
        <v>1382</v>
      </c>
      <c r="D448" s="1"/>
      <c r="E448" s="2" t="s">
        <v>1383</v>
      </c>
      <c r="F448" s="2" t="s">
        <v>1384</v>
      </c>
      <c r="G448" s="2" t="s">
        <v>153</v>
      </c>
      <c r="H448" s="2">
        <v>0</v>
      </c>
      <c r="I448" s="1">
        <v>0</v>
      </c>
      <c r="J448" s="3" t="s">
        <v>447</v>
      </c>
      <c r="K448" s="2" t="str">
        <f>J448*233.31</f>
        <v>0</v>
      </c>
      <c r="L448" s="5"/>
    </row>
    <row r="449" spans="1:12" customHeight="1" ht="105" outlineLevel="4">
      <c r="A449" s="1"/>
      <c r="B449" s="1">
        <v>930059</v>
      </c>
      <c r="C449" s="1" t="s">
        <v>1385</v>
      </c>
      <c r="D449" s="1"/>
      <c r="E449" s="2" t="s">
        <v>1386</v>
      </c>
      <c r="F449" s="2" t="s">
        <v>1387</v>
      </c>
      <c r="G449" s="2" t="s">
        <v>152</v>
      </c>
      <c r="H449" s="2">
        <v>0</v>
      </c>
      <c r="I449" s="1">
        <v>0</v>
      </c>
      <c r="J449" s="3" t="s">
        <v>447</v>
      </c>
      <c r="K449" s="2" t="str">
        <f>J449*214.41</f>
        <v>0</v>
      </c>
      <c r="L449" s="5"/>
    </row>
    <row r="450" spans="1:12" customHeight="1" ht="105" outlineLevel="4">
      <c r="A450" s="1"/>
      <c r="B450" s="1">
        <v>930060</v>
      </c>
      <c r="C450" s="1" t="s">
        <v>1388</v>
      </c>
      <c r="D450" s="1"/>
      <c r="E450" s="2" t="s">
        <v>1389</v>
      </c>
      <c r="F450" s="2" t="s">
        <v>1390</v>
      </c>
      <c r="G450" s="2" t="s">
        <v>153</v>
      </c>
      <c r="H450" s="2">
        <v>0</v>
      </c>
      <c r="I450" s="1">
        <v>0</v>
      </c>
      <c r="J450" s="3" t="s">
        <v>447</v>
      </c>
      <c r="K450" s="2" t="str">
        <f>J450*374.64</f>
        <v>0</v>
      </c>
      <c r="L450" s="5"/>
    </row>
    <row r="451" spans="1:12" customHeight="1" ht="105" outlineLevel="4">
      <c r="A451" s="1"/>
      <c r="B451" s="1">
        <v>930061</v>
      </c>
      <c r="C451" s="1" t="s">
        <v>1391</v>
      </c>
      <c r="D451" s="1"/>
      <c r="E451" s="2" t="s">
        <v>1392</v>
      </c>
      <c r="F451" s="2" t="s">
        <v>1393</v>
      </c>
      <c r="G451" s="2" t="s">
        <v>153</v>
      </c>
      <c r="H451" s="2">
        <v>0</v>
      </c>
      <c r="I451" s="1">
        <v>0</v>
      </c>
      <c r="J451" s="3" t="s">
        <v>447</v>
      </c>
      <c r="K451" s="2" t="str">
        <f>J451*369.81</f>
        <v>0</v>
      </c>
      <c r="L451" s="5"/>
    </row>
    <row r="452" spans="1:12" customHeight="1" ht="105" outlineLevel="4">
      <c r="A452" s="1"/>
      <c r="B452" s="1">
        <v>930062</v>
      </c>
      <c r="C452" s="1" t="s">
        <v>1394</v>
      </c>
      <c r="D452" s="1"/>
      <c r="E452" s="2" t="s">
        <v>1395</v>
      </c>
      <c r="F452" s="2" t="s">
        <v>1396</v>
      </c>
      <c r="G452" s="2">
        <v>6</v>
      </c>
      <c r="H452" s="2">
        <v>0</v>
      </c>
      <c r="I452" s="1">
        <v>0</v>
      </c>
      <c r="J452" s="3" t="s">
        <v>447</v>
      </c>
      <c r="K452" s="2" t="str">
        <f>J452*591.78</f>
        <v>0</v>
      </c>
      <c r="L452" s="5"/>
    </row>
    <row r="453" spans="1:12" customHeight="1" ht="105" outlineLevel="4">
      <c r="A453" s="1"/>
      <c r="B453" s="1">
        <v>930063</v>
      </c>
      <c r="C453" s="1" t="s">
        <v>1397</v>
      </c>
      <c r="D453" s="1"/>
      <c r="E453" s="2" t="s">
        <v>1398</v>
      </c>
      <c r="F453" s="2" t="s">
        <v>1399</v>
      </c>
      <c r="G453" s="2" t="s">
        <v>152</v>
      </c>
      <c r="H453" s="2">
        <v>0</v>
      </c>
      <c r="I453" s="1">
        <v>0</v>
      </c>
      <c r="J453" s="3" t="s">
        <v>447</v>
      </c>
      <c r="K453" s="2" t="str">
        <f>J453*76.86</f>
        <v>0</v>
      </c>
      <c r="L453" s="5"/>
    </row>
    <row r="454" spans="1:12" customHeight="1" ht="105" outlineLevel="4">
      <c r="A454" s="1"/>
      <c r="B454" s="1">
        <v>930064</v>
      </c>
      <c r="C454" s="1" t="s">
        <v>1400</v>
      </c>
      <c r="D454" s="1"/>
      <c r="E454" s="2" t="s">
        <v>1401</v>
      </c>
      <c r="F454" s="2" t="s">
        <v>471</v>
      </c>
      <c r="G454" s="2" t="s">
        <v>152</v>
      </c>
      <c r="H454" s="2">
        <v>0</v>
      </c>
      <c r="I454" s="1">
        <v>0</v>
      </c>
      <c r="J454" s="3" t="s">
        <v>447</v>
      </c>
      <c r="K454" s="2" t="str">
        <f>J454*409.92</f>
        <v>0</v>
      </c>
      <c r="L454" s="5"/>
    </row>
    <row r="455" spans="1:12" customHeight="1" ht="105" outlineLevel="4">
      <c r="A455" s="1"/>
      <c r="B455" s="1">
        <v>930065</v>
      </c>
      <c r="C455" s="1" t="s">
        <v>1402</v>
      </c>
      <c r="D455" s="1"/>
      <c r="E455" s="2" t="s">
        <v>1403</v>
      </c>
      <c r="F455" s="2" t="s">
        <v>719</v>
      </c>
      <c r="G455" s="2" t="s">
        <v>152</v>
      </c>
      <c r="H455" s="2">
        <v>0</v>
      </c>
      <c r="I455" s="1">
        <v>0</v>
      </c>
      <c r="J455" s="3" t="s">
        <v>447</v>
      </c>
      <c r="K455" s="2" t="str">
        <f>J455*499.17</f>
        <v>0</v>
      </c>
      <c r="L455" s="5"/>
    </row>
    <row r="456" spans="1:12" customHeight="1" ht="105" outlineLevel="4">
      <c r="A456" s="1"/>
      <c r="B456" s="1">
        <v>930066</v>
      </c>
      <c r="C456" s="1" t="s">
        <v>1404</v>
      </c>
      <c r="D456" s="1"/>
      <c r="E456" s="2" t="s">
        <v>1405</v>
      </c>
      <c r="F456" s="2" t="s">
        <v>1406</v>
      </c>
      <c r="G456" s="2">
        <v>9</v>
      </c>
      <c r="H456" s="2">
        <v>0</v>
      </c>
      <c r="I456" s="1">
        <v>0</v>
      </c>
      <c r="J456" s="3" t="s">
        <v>447</v>
      </c>
      <c r="K456" s="2" t="str">
        <f>J456*687.33</f>
        <v>0</v>
      </c>
      <c r="L456" s="5"/>
    </row>
    <row r="457" spans="1:12" customHeight="1" ht="105" outlineLevel="4">
      <c r="A457" s="1"/>
      <c r="B457" s="1">
        <v>930067</v>
      </c>
      <c r="C457" s="1" t="s">
        <v>1407</v>
      </c>
      <c r="D457" s="1"/>
      <c r="E457" s="2" t="s">
        <v>1408</v>
      </c>
      <c r="F457" s="2" t="s">
        <v>1409</v>
      </c>
      <c r="G457" s="2">
        <v>0</v>
      </c>
      <c r="H457" s="2">
        <v>0</v>
      </c>
      <c r="I457" s="1">
        <v>0</v>
      </c>
      <c r="J457" s="3" t="s">
        <v>447</v>
      </c>
      <c r="K457" s="2" t="str">
        <f>J457*917.70</f>
        <v>0</v>
      </c>
      <c r="L457" s="5"/>
    </row>
    <row r="458" spans="1:12" customHeight="1" ht="105" outlineLevel="4">
      <c r="A458" s="1"/>
      <c r="B458" s="1">
        <v>930068</v>
      </c>
      <c r="C458" s="1" t="s">
        <v>1410</v>
      </c>
      <c r="D458" s="1"/>
      <c r="E458" s="2" t="s">
        <v>1411</v>
      </c>
      <c r="F458" s="2" t="s">
        <v>1412</v>
      </c>
      <c r="G458" s="2">
        <v>0</v>
      </c>
      <c r="H458" s="2">
        <v>0</v>
      </c>
      <c r="I458" s="1">
        <v>0</v>
      </c>
      <c r="J458" s="3" t="s">
        <v>447</v>
      </c>
      <c r="K458" s="2" t="str">
        <f>J458*1268.82</f>
        <v>0</v>
      </c>
      <c r="L458" s="5"/>
    </row>
    <row r="459" spans="1:12" customHeight="1" ht="105" outlineLevel="4">
      <c r="A459" s="1"/>
      <c r="B459" s="1">
        <v>930069</v>
      </c>
      <c r="C459" s="1" t="s">
        <v>1413</v>
      </c>
      <c r="D459" s="1"/>
      <c r="E459" s="2" t="s">
        <v>1414</v>
      </c>
      <c r="F459" s="2" t="s">
        <v>1415</v>
      </c>
      <c r="G459" s="2">
        <v>0</v>
      </c>
      <c r="H459" s="2">
        <v>0</v>
      </c>
      <c r="I459" s="1">
        <v>0</v>
      </c>
      <c r="J459" s="3" t="s">
        <v>447</v>
      </c>
      <c r="K459" s="2" t="str">
        <f>J459*2618.70</f>
        <v>0</v>
      </c>
      <c r="L459" s="5"/>
    </row>
    <row r="460" spans="1:12" customHeight="1" ht="105" outlineLevel="4">
      <c r="A460" s="1"/>
      <c r="B460" s="1">
        <v>930070</v>
      </c>
      <c r="C460" s="1" t="s">
        <v>1416</v>
      </c>
      <c r="D460" s="1"/>
      <c r="E460" s="2" t="s">
        <v>1417</v>
      </c>
      <c r="F460" s="2" t="s">
        <v>1418</v>
      </c>
      <c r="G460" s="2">
        <v>0</v>
      </c>
      <c r="H460" s="2">
        <v>0</v>
      </c>
      <c r="I460" s="1">
        <v>0</v>
      </c>
      <c r="J460" s="3" t="s">
        <v>447</v>
      </c>
      <c r="K460" s="2" t="str">
        <f>J460*2622.27</f>
        <v>0</v>
      </c>
      <c r="L460" s="5"/>
    </row>
    <row r="461" spans="1:12" customHeight="1" ht="105" outlineLevel="4">
      <c r="A461" s="1"/>
      <c r="B461" s="1">
        <v>930071</v>
      </c>
      <c r="C461" s="1" t="s">
        <v>1419</v>
      </c>
      <c r="D461" s="1"/>
      <c r="E461" s="2" t="s">
        <v>1420</v>
      </c>
      <c r="F461" s="2" t="s">
        <v>1421</v>
      </c>
      <c r="G461" s="2">
        <v>9</v>
      </c>
      <c r="H461" s="2">
        <v>0</v>
      </c>
      <c r="I461" s="1">
        <v>0</v>
      </c>
      <c r="J461" s="3" t="s">
        <v>447</v>
      </c>
      <c r="K461" s="2" t="str">
        <f>J461*568.89</f>
        <v>0</v>
      </c>
      <c r="L461" s="5"/>
    </row>
    <row r="462" spans="1:12" customHeight="1" ht="105" outlineLevel="4">
      <c r="A462" s="1"/>
      <c r="B462" s="1">
        <v>930072</v>
      </c>
      <c r="C462" s="1" t="s">
        <v>1422</v>
      </c>
      <c r="D462" s="1"/>
      <c r="E462" s="2" t="s">
        <v>1423</v>
      </c>
      <c r="F462" s="2" t="s">
        <v>1424</v>
      </c>
      <c r="G462" s="2">
        <v>3</v>
      </c>
      <c r="H462" s="2">
        <v>0</v>
      </c>
      <c r="I462" s="1">
        <v>0</v>
      </c>
      <c r="J462" s="3" t="s">
        <v>447</v>
      </c>
      <c r="K462" s="2" t="str">
        <f>J462*778.05</f>
        <v>0</v>
      </c>
      <c r="L462" s="5"/>
    </row>
    <row r="463" spans="1:12" customHeight="1" ht="105" outlineLevel="4">
      <c r="A463" s="1"/>
      <c r="B463" s="1">
        <v>930073</v>
      </c>
      <c r="C463" s="1" t="s">
        <v>1425</v>
      </c>
      <c r="D463" s="1"/>
      <c r="E463" s="2" t="s">
        <v>1426</v>
      </c>
      <c r="F463" s="2" t="s">
        <v>1427</v>
      </c>
      <c r="G463" s="2" t="s">
        <v>152</v>
      </c>
      <c r="H463" s="2">
        <v>0</v>
      </c>
      <c r="I463" s="1">
        <v>0</v>
      </c>
      <c r="J463" s="3" t="s">
        <v>447</v>
      </c>
      <c r="K463" s="2" t="str">
        <f>J463*509.46</f>
        <v>0</v>
      </c>
      <c r="L463" s="5"/>
    </row>
    <row r="464" spans="1:12" customHeight="1" ht="105" outlineLevel="4">
      <c r="A464" s="1"/>
      <c r="B464" s="1">
        <v>930074</v>
      </c>
      <c r="C464" s="1" t="s">
        <v>1428</v>
      </c>
      <c r="D464" s="1"/>
      <c r="E464" s="2" t="s">
        <v>1429</v>
      </c>
      <c r="F464" s="2" t="s">
        <v>1430</v>
      </c>
      <c r="G464" s="2" t="s">
        <v>152</v>
      </c>
      <c r="H464" s="2">
        <v>0</v>
      </c>
      <c r="I464" s="1">
        <v>0</v>
      </c>
      <c r="J464" s="3" t="s">
        <v>447</v>
      </c>
      <c r="K464" s="2" t="str">
        <f>J464*625.80</f>
        <v>0</v>
      </c>
      <c r="L464" s="5"/>
    </row>
    <row r="465" spans="1:12" customHeight="1" ht="105" outlineLevel="4">
      <c r="A465" s="1"/>
      <c r="B465" s="1">
        <v>930075</v>
      </c>
      <c r="C465" s="1" t="s">
        <v>1431</v>
      </c>
      <c r="D465" s="1"/>
      <c r="E465" s="2" t="s">
        <v>1432</v>
      </c>
      <c r="F465" s="2" t="s">
        <v>1433</v>
      </c>
      <c r="G465" s="2">
        <v>0</v>
      </c>
      <c r="H465" s="2">
        <v>0</v>
      </c>
      <c r="I465" s="1" t="s">
        <v>153</v>
      </c>
      <c r="J465" s="3" t="s">
        <v>447</v>
      </c>
      <c r="K465" s="2" t="str">
        <f>J465*526.47</f>
        <v>0</v>
      </c>
      <c r="L465" s="5"/>
    </row>
    <row r="466" spans="1:12" customHeight="1" ht="105" outlineLevel="4">
      <c r="A466" s="1"/>
      <c r="B466" s="1">
        <v>930076</v>
      </c>
      <c r="C466" s="1" t="s">
        <v>1434</v>
      </c>
      <c r="D466" s="1"/>
      <c r="E466" s="2" t="s">
        <v>1435</v>
      </c>
      <c r="F466" s="2" t="s">
        <v>1436</v>
      </c>
      <c r="G466" s="2" t="s">
        <v>153</v>
      </c>
      <c r="H466" s="2">
        <v>0</v>
      </c>
      <c r="I466" s="1">
        <v>0</v>
      </c>
      <c r="J466" s="3" t="s">
        <v>447</v>
      </c>
      <c r="K466" s="2" t="str">
        <f>J466*639.87</f>
        <v>0</v>
      </c>
      <c r="L466" s="5"/>
    </row>
    <row r="467" spans="1:12" customHeight="1" ht="105" outlineLevel="4">
      <c r="A467" s="1"/>
      <c r="B467" s="1">
        <v>930077</v>
      </c>
      <c r="C467" s="1" t="s">
        <v>1437</v>
      </c>
      <c r="D467" s="1"/>
      <c r="E467" s="2" t="s">
        <v>1438</v>
      </c>
      <c r="F467" s="2" t="s">
        <v>542</v>
      </c>
      <c r="G467" s="2" t="s">
        <v>58</v>
      </c>
      <c r="H467" s="2">
        <v>0</v>
      </c>
      <c r="I467" s="1" t="s">
        <v>58</v>
      </c>
      <c r="J467" s="3" t="s">
        <v>447</v>
      </c>
      <c r="K467" s="2" t="str">
        <f>J467*204.75</f>
        <v>0</v>
      </c>
      <c r="L467" s="5"/>
    </row>
    <row r="468" spans="1:12" customHeight="1" ht="105" outlineLevel="4">
      <c r="A468" s="1"/>
      <c r="B468" s="1">
        <v>930078</v>
      </c>
      <c r="C468" s="1" t="s">
        <v>1439</v>
      </c>
      <c r="D468" s="1" t="s">
        <v>1440</v>
      </c>
      <c r="E468" s="2" t="s">
        <v>1441</v>
      </c>
      <c r="F468" s="2" t="s">
        <v>1442</v>
      </c>
      <c r="G468" s="2" t="s">
        <v>58</v>
      </c>
      <c r="H468" s="2">
        <v>0</v>
      </c>
      <c r="I468" s="1">
        <v>0</v>
      </c>
      <c r="J468" s="3" t="s">
        <v>447</v>
      </c>
      <c r="K468" s="2" t="str">
        <f>J468*296.10</f>
        <v>0</v>
      </c>
      <c r="L468" s="5"/>
    </row>
    <row r="469" spans="1:12" customHeight="1" ht="105" outlineLevel="4">
      <c r="A469" s="1"/>
      <c r="B469" s="1">
        <v>930079</v>
      </c>
      <c r="C469" s="1" t="s">
        <v>1443</v>
      </c>
      <c r="D469" s="1"/>
      <c r="E469" s="2" t="s">
        <v>1444</v>
      </c>
      <c r="F469" s="2" t="s">
        <v>1445</v>
      </c>
      <c r="G469" s="2" t="s">
        <v>74</v>
      </c>
      <c r="H469" s="2">
        <v>0</v>
      </c>
      <c r="I469" s="1">
        <v>0</v>
      </c>
      <c r="J469" s="3" t="s">
        <v>447</v>
      </c>
      <c r="K469" s="2" t="str">
        <f>J469*491.40</f>
        <v>0</v>
      </c>
      <c r="L469" s="5"/>
    </row>
    <row r="470" spans="1:12" customHeight="1" ht="105" outlineLevel="4">
      <c r="A470" s="1"/>
      <c r="B470" s="1">
        <v>930080</v>
      </c>
      <c r="C470" s="1" t="s">
        <v>1446</v>
      </c>
      <c r="D470" s="1"/>
      <c r="E470" s="2" t="s">
        <v>1447</v>
      </c>
      <c r="F470" s="2" t="s">
        <v>1448</v>
      </c>
      <c r="G470" s="2" t="s">
        <v>153</v>
      </c>
      <c r="H470" s="2">
        <v>0</v>
      </c>
      <c r="I470" s="1">
        <v>0</v>
      </c>
      <c r="J470" s="3" t="s">
        <v>447</v>
      </c>
      <c r="K470" s="2" t="str">
        <f>J470*931.35</f>
        <v>0</v>
      </c>
      <c r="L470" s="5"/>
    </row>
    <row r="471" spans="1:12" customHeight="1" ht="105" outlineLevel="4">
      <c r="A471" s="1"/>
      <c r="B471" s="1">
        <v>930081</v>
      </c>
      <c r="C471" s="1" t="s">
        <v>1449</v>
      </c>
      <c r="D471" s="1"/>
      <c r="E471" s="2" t="s">
        <v>1450</v>
      </c>
      <c r="F471" s="2" t="s">
        <v>1451</v>
      </c>
      <c r="G471" s="2">
        <v>10</v>
      </c>
      <c r="H471" s="2">
        <v>0</v>
      </c>
      <c r="I471" s="1">
        <v>0</v>
      </c>
      <c r="J471" s="3" t="s">
        <v>447</v>
      </c>
      <c r="K471" s="2" t="str">
        <f>J471*1641.36</f>
        <v>0</v>
      </c>
      <c r="L471" s="5"/>
    </row>
    <row r="472" spans="1:12" customHeight="1" ht="105" outlineLevel="4">
      <c r="A472" s="1"/>
      <c r="B472" s="1">
        <v>930082</v>
      </c>
      <c r="C472" s="1" t="s">
        <v>1452</v>
      </c>
      <c r="D472" s="1"/>
      <c r="E472" s="2" t="s">
        <v>1453</v>
      </c>
      <c r="F472" s="2" t="s">
        <v>1454</v>
      </c>
      <c r="G472" s="2">
        <v>4</v>
      </c>
      <c r="H472" s="2">
        <v>0</v>
      </c>
      <c r="I472" s="1">
        <v>0</v>
      </c>
      <c r="J472" s="3" t="s">
        <v>447</v>
      </c>
      <c r="K472" s="2" t="str">
        <f>J472*2490.81</f>
        <v>0</v>
      </c>
      <c r="L472" s="5"/>
    </row>
    <row r="473" spans="1:12" customHeight="1" ht="105" outlineLevel="4">
      <c r="A473" s="1"/>
      <c r="B473" s="1">
        <v>930083</v>
      </c>
      <c r="C473" s="1" t="s">
        <v>1455</v>
      </c>
      <c r="D473" s="1"/>
      <c r="E473" s="2" t="s">
        <v>1456</v>
      </c>
      <c r="F473" s="2" t="s">
        <v>1457</v>
      </c>
      <c r="G473" s="2" t="s">
        <v>58</v>
      </c>
      <c r="H473" s="2">
        <v>0</v>
      </c>
      <c r="I473" s="1">
        <v>0</v>
      </c>
      <c r="J473" s="3" t="s">
        <v>447</v>
      </c>
      <c r="K473" s="2" t="str">
        <f>J473*192.63</f>
        <v>0</v>
      </c>
      <c r="L473" s="5"/>
    </row>
    <row r="474" spans="1:12" customHeight="1" ht="105" outlineLevel="4">
      <c r="A474" s="1"/>
      <c r="B474" s="1">
        <v>930084</v>
      </c>
      <c r="C474" s="1" t="s">
        <v>1458</v>
      </c>
      <c r="D474" s="1"/>
      <c r="E474" s="2" t="s">
        <v>1459</v>
      </c>
      <c r="F474" s="2" t="s">
        <v>1460</v>
      </c>
      <c r="G474" s="2" t="s">
        <v>58</v>
      </c>
      <c r="H474" s="2">
        <v>0</v>
      </c>
      <c r="I474" s="1">
        <v>0</v>
      </c>
      <c r="J474" s="3" t="s">
        <v>447</v>
      </c>
      <c r="K474" s="2" t="str">
        <f>J474*201.60</f>
        <v>0</v>
      </c>
      <c r="L474" s="5"/>
    </row>
    <row r="475" spans="1:12" customHeight="1" ht="105" outlineLevel="4">
      <c r="A475" s="1"/>
      <c r="B475" s="1">
        <v>930085</v>
      </c>
      <c r="C475" s="1" t="s">
        <v>1461</v>
      </c>
      <c r="D475" s="1"/>
      <c r="E475" s="2" t="s">
        <v>1462</v>
      </c>
      <c r="F475" s="2" t="s">
        <v>1463</v>
      </c>
      <c r="G475" s="2" t="s">
        <v>58</v>
      </c>
      <c r="H475" s="2">
        <v>0</v>
      </c>
      <c r="I475" s="1">
        <v>0</v>
      </c>
      <c r="J475" s="3" t="s">
        <v>447</v>
      </c>
      <c r="K475" s="2" t="str">
        <f>J475*324.90</f>
        <v>0</v>
      </c>
      <c r="L475" s="5"/>
    </row>
    <row r="476" spans="1:12" customHeight="1" ht="105" outlineLevel="4">
      <c r="A476" s="1"/>
      <c r="B476" s="1">
        <v>930086</v>
      </c>
      <c r="C476" s="1" t="s">
        <v>1464</v>
      </c>
      <c r="D476" s="1"/>
      <c r="E476" s="2" t="s">
        <v>1465</v>
      </c>
      <c r="F476" s="2" t="s">
        <v>1466</v>
      </c>
      <c r="G476" s="2" t="s">
        <v>74</v>
      </c>
      <c r="H476" s="2">
        <v>0</v>
      </c>
      <c r="I476" s="1">
        <v>0</v>
      </c>
      <c r="J476" s="3" t="s">
        <v>447</v>
      </c>
      <c r="K476" s="2" t="str">
        <f>J476*359.10</f>
        <v>0</v>
      </c>
      <c r="L476" s="5"/>
    </row>
    <row r="477" spans="1:12" customHeight="1" ht="105" outlineLevel="4">
      <c r="A477" s="1"/>
      <c r="B477" s="1">
        <v>930087</v>
      </c>
      <c r="C477" s="1" t="s">
        <v>1467</v>
      </c>
      <c r="D477" s="1"/>
      <c r="E477" s="2" t="s">
        <v>1468</v>
      </c>
      <c r="F477" s="2" t="s">
        <v>1469</v>
      </c>
      <c r="G477" s="2" t="s">
        <v>58</v>
      </c>
      <c r="H477" s="2">
        <v>0</v>
      </c>
      <c r="I477" s="1">
        <v>0</v>
      </c>
      <c r="J477" s="3" t="s">
        <v>447</v>
      </c>
      <c r="K477" s="2" t="str">
        <f>J477*466.41</f>
        <v>0</v>
      </c>
      <c r="L477" s="5"/>
    </row>
    <row r="478" spans="1:12" customHeight="1" ht="105" outlineLevel="4">
      <c r="A478" s="1"/>
      <c r="B478" s="1">
        <v>930088</v>
      </c>
      <c r="C478" s="1" t="s">
        <v>1470</v>
      </c>
      <c r="D478" s="1"/>
      <c r="E478" s="2" t="s">
        <v>1471</v>
      </c>
      <c r="F478" s="2" t="s">
        <v>1472</v>
      </c>
      <c r="G478" s="2" t="s">
        <v>74</v>
      </c>
      <c r="H478" s="2">
        <v>0</v>
      </c>
      <c r="I478" s="1">
        <v>0</v>
      </c>
      <c r="J478" s="3" t="s">
        <v>447</v>
      </c>
      <c r="K478" s="2" t="str">
        <f>J478*357.84</f>
        <v>0</v>
      </c>
      <c r="L478" s="5"/>
    </row>
    <row r="479" spans="1:12" customHeight="1" ht="105" outlineLevel="4">
      <c r="A479" s="1"/>
      <c r="B479" s="1">
        <v>930089</v>
      </c>
      <c r="C479" s="1" t="s">
        <v>1473</v>
      </c>
      <c r="D479" s="1"/>
      <c r="E479" s="2" t="s">
        <v>1474</v>
      </c>
      <c r="F479" s="2" t="s">
        <v>1475</v>
      </c>
      <c r="G479" s="2" t="s">
        <v>74</v>
      </c>
      <c r="H479" s="2">
        <v>0</v>
      </c>
      <c r="I479" s="1">
        <v>0</v>
      </c>
      <c r="J479" s="3" t="s">
        <v>447</v>
      </c>
      <c r="K479" s="2" t="str">
        <f>J479*470.40</f>
        <v>0</v>
      </c>
      <c r="L479" s="5"/>
    </row>
    <row r="480" spans="1:12" customHeight="1" ht="105" outlineLevel="4">
      <c r="A480" s="1"/>
      <c r="B480" s="1">
        <v>930090</v>
      </c>
      <c r="C480" s="1" t="s">
        <v>1476</v>
      </c>
      <c r="D480" s="1"/>
      <c r="E480" s="2" t="s">
        <v>1477</v>
      </c>
      <c r="F480" s="2" t="s">
        <v>1478</v>
      </c>
      <c r="G480" s="2" t="s">
        <v>152</v>
      </c>
      <c r="H480" s="2">
        <v>0</v>
      </c>
      <c r="I480" s="1" t="s">
        <v>152</v>
      </c>
      <c r="J480" s="3" t="s">
        <v>447</v>
      </c>
      <c r="K480" s="2" t="str">
        <f>J480*60.06</f>
        <v>0</v>
      </c>
      <c r="L480" s="5"/>
    </row>
    <row r="481" spans="1:12" customHeight="1" ht="105" outlineLevel="4">
      <c r="A481" s="1"/>
      <c r="B481" s="1">
        <v>930091</v>
      </c>
      <c r="C481" s="1" t="s">
        <v>1479</v>
      </c>
      <c r="D481" s="1"/>
      <c r="E481" s="2" t="s">
        <v>1480</v>
      </c>
      <c r="F481" s="2" t="s">
        <v>1481</v>
      </c>
      <c r="G481" s="2" t="s">
        <v>153</v>
      </c>
      <c r="H481" s="2">
        <v>0</v>
      </c>
      <c r="I481" s="1">
        <v>0</v>
      </c>
      <c r="J481" s="3" t="s">
        <v>447</v>
      </c>
      <c r="K481" s="2" t="str">
        <f>J481*60.69</f>
        <v>0</v>
      </c>
      <c r="L481" s="5"/>
    </row>
    <row r="482" spans="1:12" customHeight="1" ht="105" outlineLevel="4">
      <c r="A482" s="1"/>
      <c r="B482" s="1">
        <v>930092</v>
      </c>
      <c r="C482" s="1" t="s">
        <v>1482</v>
      </c>
      <c r="D482" s="1"/>
      <c r="E482" s="2" t="s">
        <v>1483</v>
      </c>
      <c r="F482" s="2" t="s">
        <v>1484</v>
      </c>
      <c r="G482" s="2">
        <v>10</v>
      </c>
      <c r="H482" s="2">
        <v>0</v>
      </c>
      <c r="I482" s="1" t="s">
        <v>153</v>
      </c>
      <c r="J482" s="3" t="s">
        <v>447</v>
      </c>
      <c r="K482" s="2" t="str">
        <f>J482*80.01</f>
        <v>0</v>
      </c>
      <c r="L482" s="5"/>
    </row>
    <row r="483" spans="1:12" customHeight="1" ht="105" outlineLevel="4">
      <c r="A483" s="1"/>
      <c r="B483" s="1">
        <v>930093</v>
      </c>
      <c r="C483" s="1" t="s">
        <v>1485</v>
      </c>
      <c r="D483" s="1"/>
      <c r="E483" s="2" t="s">
        <v>1486</v>
      </c>
      <c r="F483" s="2" t="s">
        <v>1487</v>
      </c>
      <c r="G483" s="2">
        <v>9</v>
      </c>
      <c r="H483" s="2">
        <v>0</v>
      </c>
      <c r="I483" s="1" t="s">
        <v>152</v>
      </c>
      <c r="J483" s="3" t="s">
        <v>447</v>
      </c>
      <c r="K483" s="2" t="str">
        <f>J483*170.73</f>
        <v>0</v>
      </c>
      <c r="L483" s="5"/>
    </row>
    <row r="484" spans="1:12" customHeight="1" ht="105" outlineLevel="4">
      <c r="A484" s="1"/>
      <c r="B484" s="1">
        <v>930094</v>
      </c>
      <c r="C484" s="1" t="s">
        <v>1488</v>
      </c>
      <c r="D484" s="1" t="s">
        <v>1489</v>
      </c>
      <c r="E484" s="2" t="s">
        <v>1490</v>
      </c>
      <c r="F484" s="2" t="s">
        <v>1491</v>
      </c>
      <c r="G484" s="2" t="s">
        <v>153</v>
      </c>
      <c r="H484" s="2">
        <v>0</v>
      </c>
      <c r="I484" s="1">
        <v>0</v>
      </c>
      <c r="J484" s="3" t="s">
        <v>447</v>
      </c>
      <c r="K484" s="2" t="str">
        <f>J484*242.34</f>
        <v>0</v>
      </c>
      <c r="L484" s="5"/>
    </row>
    <row r="485" spans="1:12" customHeight="1" ht="105" outlineLevel="4">
      <c r="A485" s="1"/>
      <c r="B485" s="1">
        <v>930095</v>
      </c>
      <c r="C485" s="1" t="s">
        <v>1492</v>
      </c>
      <c r="D485" s="1"/>
      <c r="E485" s="2" t="s">
        <v>1493</v>
      </c>
      <c r="F485" s="2" t="s">
        <v>1494</v>
      </c>
      <c r="G485" s="2" t="s">
        <v>153</v>
      </c>
      <c r="H485" s="2">
        <v>0</v>
      </c>
      <c r="I485" s="1">
        <v>0</v>
      </c>
      <c r="J485" s="3" t="s">
        <v>447</v>
      </c>
      <c r="K485" s="2" t="str">
        <f>J485*383.46</f>
        <v>0</v>
      </c>
      <c r="L485" s="5"/>
    </row>
    <row r="486" spans="1:12" customHeight="1" ht="105" outlineLevel="4">
      <c r="A486" s="1"/>
      <c r="B486" s="1">
        <v>930096</v>
      </c>
      <c r="C486" s="1" t="s">
        <v>1495</v>
      </c>
      <c r="D486" s="1"/>
      <c r="E486" s="2" t="s">
        <v>1496</v>
      </c>
      <c r="F486" s="2" t="s">
        <v>1497</v>
      </c>
      <c r="G486" s="2" t="s">
        <v>152</v>
      </c>
      <c r="H486" s="2">
        <v>0</v>
      </c>
      <c r="I486" s="1">
        <v>0</v>
      </c>
      <c r="J486" s="3" t="s">
        <v>447</v>
      </c>
      <c r="K486" s="2" t="str">
        <f>J486*175.77</f>
        <v>0</v>
      </c>
      <c r="L486" s="5"/>
    </row>
    <row r="487" spans="1:12" customHeight="1" ht="105" outlineLevel="4">
      <c r="A487" s="1"/>
      <c r="B487" s="1">
        <v>930097</v>
      </c>
      <c r="C487" s="1" t="s">
        <v>1498</v>
      </c>
      <c r="D487" s="1"/>
      <c r="E487" s="2" t="s">
        <v>1499</v>
      </c>
      <c r="F487" s="2" t="s">
        <v>1500</v>
      </c>
      <c r="G487" s="2" t="s">
        <v>152</v>
      </c>
      <c r="H487" s="2">
        <v>0</v>
      </c>
      <c r="I487" s="1">
        <v>0</v>
      </c>
      <c r="J487" s="3" t="s">
        <v>447</v>
      </c>
      <c r="K487" s="2" t="str">
        <f>J487*243.60</f>
        <v>0</v>
      </c>
      <c r="L487" s="5"/>
    </row>
    <row r="488" spans="1:12" customHeight="1" ht="105" outlineLevel="4">
      <c r="A488" s="1"/>
      <c r="B488" s="1">
        <v>930098</v>
      </c>
      <c r="C488" s="1" t="s">
        <v>1501</v>
      </c>
      <c r="D488" s="1"/>
      <c r="E488" s="2" t="s">
        <v>1502</v>
      </c>
      <c r="F488" s="2" t="s">
        <v>1503</v>
      </c>
      <c r="G488" s="2" t="s">
        <v>153</v>
      </c>
      <c r="H488" s="2">
        <v>0</v>
      </c>
      <c r="I488" s="1">
        <v>0</v>
      </c>
      <c r="J488" s="3" t="s">
        <v>447</v>
      </c>
      <c r="K488" s="2" t="str">
        <f>J488*401.52</f>
        <v>0</v>
      </c>
      <c r="L488" s="5"/>
    </row>
    <row r="489" spans="1:12" customHeight="1" ht="105" outlineLevel="4">
      <c r="A489" s="1"/>
      <c r="B489" s="1">
        <v>930099</v>
      </c>
      <c r="C489" s="1" t="s">
        <v>1504</v>
      </c>
      <c r="D489" s="1"/>
      <c r="E489" s="2" t="s">
        <v>1505</v>
      </c>
      <c r="F489" s="2" t="s">
        <v>1506</v>
      </c>
      <c r="G489" s="2">
        <v>8</v>
      </c>
      <c r="H489" s="2">
        <v>0</v>
      </c>
      <c r="I489" s="1">
        <v>0</v>
      </c>
      <c r="J489" s="3" t="s">
        <v>447</v>
      </c>
      <c r="K489" s="2" t="str">
        <f>J489*626.85</f>
        <v>0</v>
      </c>
      <c r="L489" s="5"/>
    </row>
    <row r="490" spans="1:12" customHeight="1" ht="105" outlineLevel="4">
      <c r="A490" s="1"/>
      <c r="B490" s="1">
        <v>930100</v>
      </c>
      <c r="C490" s="1" t="s">
        <v>1507</v>
      </c>
      <c r="D490" s="1"/>
      <c r="E490" s="2" t="s">
        <v>1508</v>
      </c>
      <c r="F490" s="2" t="s">
        <v>1509</v>
      </c>
      <c r="G490" s="2" t="s">
        <v>58</v>
      </c>
      <c r="H490" s="2">
        <v>0</v>
      </c>
      <c r="I490" s="1">
        <v>0</v>
      </c>
      <c r="J490" s="3" t="s">
        <v>447</v>
      </c>
      <c r="K490" s="2" t="str">
        <f>J490*7.96</f>
        <v>0</v>
      </c>
      <c r="L490" s="5"/>
    </row>
    <row r="491" spans="1:12" customHeight="1" ht="105" outlineLevel="4">
      <c r="A491" s="1"/>
      <c r="B491" s="1">
        <v>930101</v>
      </c>
      <c r="C491" s="1" t="s">
        <v>1510</v>
      </c>
      <c r="D491" s="1"/>
      <c r="E491" s="2" t="s">
        <v>1511</v>
      </c>
      <c r="F491" s="2" t="s">
        <v>1512</v>
      </c>
      <c r="G491" s="2" t="s">
        <v>74</v>
      </c>
      <c r="H491" s="2">
        <v>0</v>
      </c>
      <c r="I491" s="1">
        <v>0</v>
      </c>
      <c r="J491" s="3" t="s">
        <v>447</v>
      </c>
      <c r="K491" s="2" t="str">
        <f>J491*17.52</f>
        <v>0</v>
      </c>
      <c r="L491" s="5"/>
    </row>
    <row r="492" spans="1:12" customHeight="1" ht="105" outlineLevel="4">
      <c r="A492" s="1"/>
      <c r="B492" s="1">
        <v>930102</v>
      </c>
      <c r="C492" s="1" t="s">
        <v>1513</v>
      </c>
      <c r="D492" s="1"/>
      <c r="E492" s="2" t="s">
        <v>1514</v>
      </c>
      <c r="F492" s="2" t="s">
        <v>1515</v>
      </c>
      <c r="G492" s="2" t="s">
        <v>74</v>
      </c>
      <c r="H492" s="2">
        <v>0</v>
      </c>
      <c r="I492" s="1">
        <v>0</v>
      </c>
      <c r="J492" s="3" t="s">
        <v>447</v>
      </c>
      <c r="K492" s="2" t="str">
        <f>J492*23.89</f>
        <v>0</v>
      </c>
      <c r="L492" s="5"/>
    </row>
    <row r="493" spans="1:12" customHeight="1" ht="105" outlineLevel="4">
      <c r="A493" s="1"/>
      <c r="B493" s="1">
        <v>930103</v>
      </c>
      <c r="C493" s="1" t="s">
        <v>1516</v>
      </c>
      <c r="D493" s="1"/>
      <c r="E493" s="2" t="s">
        <v>1517</v>
      </c>
      <c r="F493" s="2" t="s">
        <v>1518</v>
      </c>
      <c r="G493" s="2">
        <v>0</v>
      </c>
      <c r="H493" s="2">
        <v>0</v>
      </c>
      <c r="I493" s="1">
        <v>0</v>
      </c>
      <c r="J493" s="3" t="s">
        <v>447</v>
      </c>
      <c r="K493" s="2" t="str">
        <f>J493*497.07</f>
        <v>0</v>
      </c>
      <c r="L493" s="5"/>
    </row>
    <row r="494" spans="1:12" customHeight="1" ht="105" outlineLevel="4">
      <c r="A494" s="1"/>
      <c r="B494" s="1">
        <v>930104</v>
      </c>
      <c r="C494" s="1" t="s">
        <v>1519</v>
      </c>
      <c r="D494" s="1"/>
      <c r="E494" s="2" t="s">
        <v>1520</v>
      </c>
      <c r="F494" s="2" t="s">
        <v>1521</v>
      </c>
      <c r="G494" s="2">
        <v>0</v>
      </c>
      <c r="H494" s="2">
        <v>0</v>
      </c>
      <c r="I494" s="1">
        <v>0</v>
      </c>
      <c r="J494" s="3" t="s">
        <v>447</v>
      </c>
      <c r="K494" s="2" t="str">
        <f>J494*633.36</f>
        <v>0</v>
      </c>
      <c r="L494" s="5"/>
    </row>
    <row r="495" spans="1:12" customHeight="1" ht="105" outlineLevel="4">
      <c r="A495" s="1"/>
      <c r="B495" s="1">
        <v>930105</v>
      </c>
      <c r="C495" s="1" t="s">
        <v>1522</v>
      </c>
      <c r="D495" s="1"/>
      <c r="E495" s="2" t="s">
        <v>1523</v>
      </c>
      <c r="F495" s="2" t="s">
        <v>1524</v>
      </c>
      <c r="G495" s="2">
        <v>0</v>
      </c>
      <c r="H495" s="2">
        <v>0</v>
      </c>
      <c r="I495" s="1">
        <v>0</v>
      </c>
      <c r="J495" s="3" t="s">
        <v>447</v>
      </c>
      <c r="K495" s="2" t="str">
        <f>J495*487.41</f>
        <v>0</v>
      </c>
      <c r="L495" s="5"/>
    </row>
    <row r="496" spans="1:12" customHeight="1" ht="105" outlineLevel="4">
      <c r="A496" s="1"/>
      <c r="B496" s="1">
        <v>930106</v>
      </c>
      <c r="C496" s="1" t="s">
        <v>1525</v>
      </c>
      <c r="D496" s="1"/>
      <c r="E496" s="2" t="s">
        <v>1526</v>
      </c>
      <c r="F496" s="2" t="s">
        <v>1527</v>
      </c>
      <c r="G496" s="2">
        <v>0</v>
      </c>
      <c r="H496" s="2">
        <v>0</v>
      </c>
      <c r="I496" s="1">
        <v>0</v>
      </c>
      <c r="J496" s="3" t="s">
        <v>447</v>
      </c>
      <c r="K496" s="2" t="str">
        <f>J496*690.06</f>
        <v>0</v>
      </c>
      <c r="L496" s="5"/>
    </row>
    <row r="497" spans="1:12" customHeight="1" ht="105" outlineLevel="4">
      <c r="A497" s="1"/>
      <c r="B497" s="1">
        <v>930107</v>
      </c>
      <c r="C497" s="1" t="s">
        <v>1528</v>
      </c>
      <c r="D497" s="1"/>
      <c r="E497" s="2" t="s">
        <v>1529</v>
      </c>
      <c r="F497" s="2" t="s">
        <v>1530</v>
      </c>
      <c r="G497" s="2">
        <v>0</v>
      </c>
      <c r="H497" s="2">
        <v>0</v>
      </c>
      <c r="I497" s="1">
        <v>0</v>
      </c>
      <c r="J497" s="3" t="s">
        <v>447</v>
      </c>
      <c r="K497" s="2" t="str">
        <f>J497*854.07</f>
        <v>0</v>
      </c>
      <c r="L497" s="5"/>
    </row>
    <row r="498" spans="1:12" customHeight="1" ht="105" outlineLevel="4">
      <c r="A498" s="1"/>
      <c r="B498" s="1">
        <v>930108</v>
      </c>
      <c r="C498" s="1" t="s">
        <v>1531</v>
      </c>
      <c r="D498" s="1"/>
      <c r="E498" s="2" t="s">
        <v>1532</v>
      </c>
      <c r="F498" s="2" t="s">
        <v>1533</v>
      </c>
      <c r="G498" s="2">
        <v>0</v>
      </c>
      <c r="H498" s="2">
        <v>0</v>
      </c>
      <c r="I498" s="1">
        <v>0</v>
      </c>
      <c r="J498" s="3" t="s">
        <v>447</v>
      </c>
      <c r="K498" s="2" t="str">
        <f>J498*940.38</f>
        <v>0</v>
      </c>
      <c r="L498" s="5"/>
    </row>
    <row r="499" spans="1:12" customHeight="1" ht="105" outlineLevel="4">
      <c r="A499" s="1"/>
      <c r="B499" s="1">
        <v>930109</v>
      </c>
      <c r="C499" s="1" t="s">
        <v>1534</v>
      </c>
      <c r="D499" s="1"/>
      <c r="E499" s="2" t="s">
        <v>1535</v>
      </c>
      <c r="F499" s="2" t="s">
        <v>1536</v>
      </c>
      <c r="G499" s="2">
        <v>0</v>
      </c>
      <c r="H499" s="2">
        <v>0</v>
      </c>
      <c r="I499" s="1">
        <v>0</v>
      </c>
      <c r="J499" s="3" t="s">
        <v>447</v>
      </c>
      <c r="K499" s="2" t="str">
        <f>J499*844.41</f>
        <v>0</v>
      </c>
      <c r="L499" s="5"/>
    </row>
    <row r="500" spans="1:12" customHeight="1" ht="105" outlineLevel="4">
      <c r="A500" s="1"/>
      <c r="B500" s="1">
        <v>930110</v>
      </c>
      <c r="C500" s="1" t="s">
        <v>1537</v>
      </c>
      <c r="D500" s="1"/>
      <c r="E500" s="2" t="s">
        <v>1538</v>
      </c>
      <c r="F500" s="2" t="s">
        <v>1539</v>
      </c>
      <c r="G500" s="2">
        <v>0</v>
      </c>
      <c r="H500" s="2">
        <v>0</v>
      </c>
      <c r="I500" s="1">
        <v>0</v>
      </c>
      <c r="J500" s="3" t="s">
        <v>447</v>
      </c>
      <c r="K500" s="2" t="str">
        <f>J500*930.72</f>
        <v>0</v>
      </c>
      <c r="L500" s="5"/>
    </row>
    <row r="501" spans="1:12" customHeight="1" ht="105" outlineLevel="4">
      <c r="A501" s="1"/>
      <c r="B501" s="1">
        <v>930111</v>
      </c>
      <c r="C501" s="1" t="s">
        <v>1540</v>
      </c>
      <c r="D501" s="1"/>
      <c r="E501" s="2" t="s">
        <v>1541</v>
      </c>
      <c r="F501" s="2" t="s">
        <v>1542</v>
      </c>
      <c r="G501" s="2">
        <v>0</v>
      </c>
      <c r="H501" s="2">
        <v>0</v>
      </c>
      <c r="I501" s="1">
        <v>0</v>
      </c>
      <c r="J501" s="3" t="s">
        <v>447</v>
      </c>
      <c r="K501" s="2" t="str">
        <f>J501*1304.73</f>
        <v>0</v>
      </c>
      <c r="L501" s="5"/>
    </row>
    <row r="502" spans="1:12" customHeight="1" ht="105" outlineLevel="4">
      <c r="A502" s="1"/>
      <c r="B502" s="1">
        <v>930112</v>
      </c>
      <c r="C502" s="1" t="s">
        <v>1543</v>
      </c>
      <c r="D502" s="1"/>
      <c r="E502" s="2" t="s">
        <v>1544</v>
      </c>
      <c r="F502" s="2" t="s">
        <v>1545</v>
      </c>
      <c r="G502" s="2" t="s">
        <v>153</v>
      </c>
      <c r="H502" s="2">
        <v>0</v>
      </c>
      <c r="I502" s="1">
        <v>0</v>
      </c>
      <c r="J502" s="3" t="s">
        <v>447</v>
      </c>
      <c r="K502" s="2" t="str">
        <f>J502*2035.53</f>
        <v>0</v>
      </c>
      <c r="L502" s="5"/>
    </row>
    <row r="503" spans="1:12" customHeight="1" ht="105" outlineLevel="4">
      <c r="A503" s="1"/>
      <c r="B503" s="1">
        <v>930113</v>
      </c>
      <c r="C503" s="1" t="s">
        <v>1546</v>
      </c>
      <c r="D503" s="1"/>
      <c r="E503" s="2" t="s">
        <v>1547</v>
      </c>
      <c r="F503" s="2" t="s">
        <v>1548</v>
      </c>
      <c r="G503" s="2">
        <v>10</v>
      </c>
      <c r="H503" s="2">
        <v>0</v>
      </c>
      <c r="I503" s="1">
        <v>0</v>
      </c>
      <c r="J503" s="3" t="s">
        <v>447</v>
      </c>
      <c r="K503" s="2" t="str">
        <f>J503*1293.81</f>
        <v>0</v>
      </c>
      <c r="L503" s="5"/>
    </row>
    <row r="504" spans="1:12" customHeight="1" ht="105" outlineLevel="4">
      <c r="A504" s="1"/>
      <c r="B504" s="1">
        <v>930114</v>
      </c>
      <c r="C504" s="1" t="s">
        <v>1549</v>
      </c>
      <c r="D504" s="1"/>
      <c r="E504" s="2" t="s">
        <v>1550</v>
      </c>
      <c r="F504" s="2" t="s">
        <v>1551</v>
      </c>
      <c r="G504" s="2">
        <v>8</v>
      </c>
      <c r="H504" s="2">
        <v>0</v>
      </c>
      <c r="I504" s="1">
        <v>0</v>
      </c>
      <c r="J504" s="3" t="s">
        <v>447</v>
      </c>
      <c r="K504" s="2" t="str">
        <f>J504*2072.70</f>
        <v>0</v>
      </c>
      <c r="L504" s="5"/>
    </row>
    <row r="505" spans="1:12" customHeight="1" ht="105" outlineLevel="4">
      <c r="A505" s="1"/>
      <c r="B505" s="1">
        <v>930115</v>
      </c>
      <c r="C505" s="1" t="s">
        <v>1552</v>
      </c>
      <c r="D505" s="1"/>
      <c r="E505" s="2" t="s">
        <v>1553</v>
      </c>
      <c r="F505" s="2" t="s">
        <v>1554</v>
      </c>
      <c r="G505" s="2" t="s">
        <v>153</v>
      </c>
      <c r="H505" s="2">
        <v>0</v>
      </c>
      <c r="I505" s="1">
        <v>0</v>
      </c>
      <c r="J505" s="3" t="s">
        <v>447</v>
      </c>
      <c r="K505" s="2" t="str">
        <f>J505*1070.58</f>
        <v>0</v>
      </c>
      <c r="L505" s="5"/>
    </row>
    <row r="506" spans="1:12" customHeight="1" ht="105" outlineLevel="4">
      <c r="A506" s="1"/>
      <c r="B506" s="1">
        <v>930116</v>
      </c>
      <c r="C506" s="1" t="s">
        <v>1555</v>
      </c>
      <c r="D506" s="1"/>
      <c r="E506" s="2" t="s">
        <v>1556</v>
      </c>
      <c r="F506" s="2" t="s">
        <v>1557</v>
      </c>
      <c r="G506" s="2" t="s">
        <v>153</v>
      </c>
      <c r="H506" s="2">
        <v>0</v>
      </c>
      <c r="I506" s="1">
        <v>0</v>
      </c>
      <c r="J506" s="3" t="s">
        <v>447</v>
      </c>
      <c r="K506" s="2" t="str">
        <f>J506*1515.78</f>
        <v>0</v>
      </c>
      <c r="L506" s="5"/>
    </row>
    <row r="507" spans="1:12" customHeight="1" ht="105" outlineLevel="4">
      <c r="A507" s="1"/>
      <c r="B507" s="1">
        <v>930117</v>
      </c>
      <c r="C507" s="1" t="s">
        <v>1558</v>
      </c>
      <c r="D507" s="1"/>
      <c r="E507" s="2" t="s">
        <v>1559</v>
      </c>
      <c r="F507" s="2" t="s">
        <v>1560</v>
      </c>
      <c r="G507" s="2" t="s">
        <v>153</v>
      </c>
      <c r="H507" s="2">
        <v>0</v>
      </c>
      <c r="I507" s="1">
        <v>0</v>
      </c>
      <c r="J507" s="3" t="s">
        <v>447</v>
      </c>
      <c r="K507" s="2" t="str">
        <f>J507*957.18</f>
        <v>0</v>
      </c>
      <c r="L507" s="5"/>
    </row>
    <row r="508" spans="1:12" customHeight="1" ht="105" outlineLevel="4">
      <c r="A508" s="1"/>
      <c r="B508" s="1">
        <v>930118</v>
      </c>
      <c r="C508" s="1" t="s">
        <v>1561</v>
      </c>
      <c r="D508" s="1"/>
      <c r="E508" s="2" t="s">
        <v>1562</v>
      </c>
      <c r="F508" s="2" t="s">
        <v>1563</v>
      </c>
      <c r="G508" s="2">
        <v>10</v>
      </c>
      <c r="H508" s="2">
        <v>0</v>
      </c>
      <c r="I508" s="1">
        <v>0</v>
      </c>
      <c r="J508" s="3" t="s">
        <v>447</v>
      </c>
      <c r="K508" s="2" t="str">
        <f>J508*1558.83</f>
        <v>0</v>
      </c>
      <c r="L508" s="5"/>
    </row>
    <row r="509" spans="1:12" customHeight="1" ht="105" outlineLevel="4">
      <c r="A509" s="1"/>
      <c r="B509" s="1">
        <v>930119</v>
      </c>
      <c r="C509" s="1" t="s">
        <v>1564</v>
      </c>
      <c r="D509" s="1"/>
      <c r="E509" s="2" t="s">
        <v>1565</v>
      </c>
      <c r="F509" s="2" t="s">
        <v>1566</v>
      </c>
      <c r="G509" s="2">
        <v>10</v>
      </c>
      <c r="H509" s="2">
        <v>0</v>
      </c>
      <c r="I509" s="1">
        <v>0</v>
      </c>
      <c r="J509" s="3" t="s">
        <v>447</v>
      </c>
      <c r="K509" s="2" t="str">
        <f>J509*1095.15</f>
        <v>0</v>
      </c>
      <c r="L509" s="5"/>
    </row>
    <row r="510" spans="1:12" customHeight="1" ht="105" outlineLevel="4">
      <c r="A510" s="1"/>
      <c r="B510" s="1">
        <v>930120</v>
      </c>
      <c r="C510" s="1" t="s">
        <v>1567</v>
      </c>
      <c r="D510" s="1"/>
      <c r="E510" s="2" t="s">
        <v>1568</v>
      </c>
      <c r="F510" s="2" t="s">
        <v>1569</v>
      </c>
      <c r="G510" s="2" t="s">
        <v>153</v>
      </c>
      <c r="H510" s="2">
        <v>0</v>
      </c>
      <c r="I510" s="1">
        <v>0</v>
      </c>
      <c r="J510" s="3" t="s">
        <v>447</v>
      </c>
      <c r="K510" s="2" t="str">
        <f>J510*1371.51</f>
        <v>0</v>
      </c>
      <c r="L510" s="5"/>
    </row>
    <row r="511" spans="1:12" customHeight="1" ht="105" outlineLevel="4">
      <c r="A511" s="1"/>
      <c r="B511" s="1">
        <v>930121</v>
      </c>
      <c r="C511" s="1" t="s">
        <v>1570</v>
      </c>
      <c r="D511" s="1"/>
      <c r="E511" s="2" t="s">
        <v>1571</v>
      </c>
      <c r="F511" s="2" t="s">
        <v>1572</v>
      </c>
      <c r="G511" s="2">
        <v>0</v>
      </c>
      <c r="H511" s="2">
        <v>0</v>
      </c>
      <c r="I511" s="1">
        <v>0</v>
      </c>
      <c r="J511" s="3" t="s">
        <v>447</v>
      </c>
      <c r="K511" s="2" t="str">
        <f>J511*883.26</f>
        <v>0</v>
      </c>
      <c r="L511" s="5"/>
    </row>
    <row r="512" spans="1:12" customHeight="1" ht="105" outlineLevel="4">
      <c r="A512" s="1"/>
      <c r="B512" s="1">
        <v>930122</v>
      </c>
      <c r="C512" s="1" t="s">
        <v>1573</v>
      </c>
      <c r="D512" s="1"/>
      <c r="E512" s="2" t="s">
        <v>1574</v>
      </c>
      <c r="F512" s="2" t="s">
        <v>1575</v>
      </c>
      <c r="G512" s="2">
        <v>10</v>
      </c>
      <c r="H512" s="2">
        <v>0</v>
      </c>
      <c r="I512" s="1">
        <v>0</v>
      </c>
      <c r="J512" s="3" t="s">
        <v>447</v>
      </c>
      <c r="K512" s="2" t="str">
        <f>J512*1180.62</f>
        <v>0</v>
      </c>
      <c r="L512" s="5"/>
    </row>
    <row r="513" spans="1:12" customHeight="1" ht="105" outlineLevel="4">
      <c r="A513" s="1"/>
      <c r="B513" s="1">
        <v>930123</v>
      </c>
      <c r="C513" s="1" t="s">
        <v>1576</v>
      </c>
      <c r="D513" s="1"/>
      <c r="E513" s="2" t="s">
        <v>1577</v>
      </c>
      <c r="F513" s="2" t="s">
        <v>1578</v>
      </c>
      <c r="G513" s="2" t="s">
        <v>58</v>
      </c>
      <c r="H513" s="2">
        <v>0</v>
      </c>
      <c r="I513" s="1" t="s">
        <v>58</v>
      </c>
      <c r="J513" s="3" t="s">
        <v>447</v>
      </c>
      <c r="K513" s="2" t="str">
        <f>J513*5.13</f>
        <v>0</v>
      </c>
      <c r="L513" s="5"/>
    </row>
    <row r="514" spans="1:12" customHeight="1" ht="105" outlineLevel="4">
      <c r="A514" s="1"/>
      <c r="B514" s="1">
        <v>930124</v>
      </c>
      <c r="C514" s="1" t="s">
        <v>1579</v>
      </c>
      <c r="D514" s="1" t="s">
        <v>1580</v>
      </c>
      <c r="E514" s="2" t="s">
        <v>1581</v>
      </c>
      <c r="F514" s="2" t="s">
        <v>1582</v>
      </c>
      <c r="G514" s="2" t="s">
        <v>58</v>
      </c>
      <c r="H514" s="2">
        <v>0</v>
      </c>
      <c r="I514" s="1">
        <v>0</v>
      </c>
      <c r="J514" s="3" t="s">
        <v>447</v>
      </c>
      <c r="K514" s="2" t="str">
        <f>J514*7.83</f>
        <v>0</v>
      </c>
      <c r="L514" s="5"/>
    </row>
    <row r="515" spans="1:12" customHeight="1" ht="105" outlineLevel="4">
      <c r="A515" s="1"/>
      <c r="B515" s="1">
        <v>930125</v>
      </c>
      <c r="C515" s="1" t="s">
        <v>1583</v>
      </c>
      <c r="D515" s="1"/>
      <c r="E515" s="2" t="s">
        <v>1584</v>
      </c>
      <c r="F515" s="2" t="s">
        <v>1585</v>
      </c>
      <c r="G515" s="2" t="s">
        <v>74</v>
      </c>
      <c r="H515" s="2">
        <v>0</v>
      </c>
      <c r="I515" s="1" t="s">
        <v>152</v>
      </c>
      <c r="J515" s="3" t="s">
        <v>447</v>
      </c>
      <c r="K515" s="2" t="str">
        <f>J515*14.00</f>
        <v>0</v>
      </c>
      <c r="L515" s="5"/>
    </row>
    <row r="516" spans="1:12" customHeight="1" ht="105" outlineLevel="4">
      <c r="A516" s="1"/>
      <c r="B516" s="1">
        <v>930126</v>
      </c>
      <c r="C516" s="1" t="s">
        <v>1586</v>
      </c>
      <c r="D516" s="1"/>
      <c r="E516" s="2" t="s">
        <v>1587</v>
      </c>
      <c r="F516" s="2" t="s">
        <v>1588</v>
      </c>
      <c r="G516" s="2" t="s">
        <v>74</v>
      </c>
      <c r="H516" s="2">
        <v>0</v>
      </c>
      <c r="I516" s="1">
        <v>0</v>
      </c>
      <c r="J516" s="3" t="s">
        <v>447</v>
      </c>
      <c r="K516" s="2" t="str">
        <f>J516*27.09</f>
        <v>0</v>
      </c>
      <c r="L516" s="5"/>
    </row>
    <row r="517" spans="1:12" customHeight="1" ht="105" outlineLevel="4">
      <c r="A517" s="1"/>
      <c r="B517" s="1">
        <v>930127</v>
      </c>
      <c r="C517" s="1" t="s">
        <v>1589</v>
      </c>
      <c r="D517" s="1"/>
      <c r="E517" s="2" t="s">
        <v>1590</v>
      </c>
      <c r="F517" s="2" t="s">
        <v>1591</v>
      </c>
      <c r="G517" s="2" t="s">
        <v>152</v>
      </c>
      <c r="H517" s="2">
        <v>0</v>
      </c>
      <c r="I517" s="1">
        <v>0</v>
      </c>
      <c r="J517" s="3" t="s">
        <v>447</v>
      </c>
      <c r="K517" s="2" t="str">
        <f>J517*47.88</f>
        <v>0</v>
      </c>
      <c r="L517" s="5"/>
    </row>
    <row r="518" spans="1:12" customHeight="1" ht="105" outlineLevel="4">
      <c r="A518" s="1"/>
      <c r="B518" s="1">
        <v>930128</v>
      </c>
      <c r="C518" s="1" t="s">
        <v>1592</v>
      </c>
      <c r="D518" s="1"/>
      <c r="E518" s="2" t="s">
        <v>1593</v>
      </c>
      <c r="F518" s="2" t="s">
        <v>521</v>
      </c>
      <c r="G518" s="2" t="s">
        <v>153</v>
      </c>
      <c r="H518" s="2">
        <v>0</v>
      </c>
      <c r="I518" s="1">
        <v>0</v>
      </c>
      <c r="J518" s="3" t="s">
        <v>447</v>
      </c>
      <c r="K518" s="2" t="str">
        <f>J518*81.27</f>
        <v>0</v>
      </c>
      <c r="L518" s="5"/>
    </row>
    <row r="519" spans="1:12" customHeight="1" ht="105" outlineLevel="4">
      <c r="A519" s="1"/>
      <c r="B519" s="1">
        <v>930129</v>
      </c>
      <c r="C519" s="1" t="s">
        <v>1594</v>
      </c>
      <c r="D519" s="1"/>
      <c r="E519" s="2" t="s">
        <v>1595</v>
      </c>
      <c r="F519" s="2" t="s">
        <v>1596</v>
      </c>
      <c r="G519" s="2">
        <v>0</v>
      </c>
      <c r="H519" s="2">
        <v>0</v>
      </c>
      <c r="I519" s="1">
        <v>0</v>
      </c>
      <c r="J519" s="3" t="s">
        <v>447</v>
      </c>
      <c r="K519" s="2" t="str">
        <f>J519*171.99</f>
        <v>0</v>
      </c>
      <c r="L519" s="5"/>
    </row>
    <row r="520" spans="1:12" customHeight="1" ht="105" outlineLevel="4">
      <c r="A520" s="1"/>
      <c r="B520" s="1">
        <v>930130</v>
      </c>
      <c r="C520" s="1" t="s">
        <v>1597</v>
      </c>
      <c r="D520" s="1"/>
      <c r="E520" s="2" t="s">
        <v>1598</v>
      </c>
      <c r="F520" s="2" t="s">
        <v>1599</v>
      </c>
      <c r="G520" s="2">
        <v>0</v>
      </c>
      <c r="H520" s="2">
        <v>0</v>
      </c>
      <c r="I520" s="1">
        <v>0</v>
      </c>
      <c r="J520" s="3" t="s">
        <v>447</v>
      </c>
      <c r="K520" s="2" t="str">
        <f>J520*225.33</f>
        <v>0</v>
      </c>
      <c r="L520" s="5"/>
    </row>
    <row r="521" spans="1:12" customHeight="1" ht="105" outlineLevel="4">
      <c r="A521" s="1"/>
      <c r="B521" s="1">
        <v>930131</v>
      </c>
      <c r="C521" s="1" t="s">
        <v>1600</v>
      </c>
      <c r="D521" s="1"/>
      <c r="E521" s="2" t="s">
        <v>1601</v>
      </c>
      <c r="F521" s="2" t="s">
        <v>1602</v>
      </c>
      <c r="G521" s="2">
        <v>0</v>
      </c>
      <c r="H521" s="2">
        <v>0</v>
      </c>
      <c r="I521" s="1">
        <v>0</v>
      </c>
      <c r="J521" s="3" t="s">
        <v>447</v>
      </c>
      <c r="K521" s="2" t="str">
        <f>J521*372.96</f>
        <v>0</v>
      </c>
      <c r="L521" s="5"/>
    </row>
    <row r="522" spans="1:12" customHeight="1" ht="105" outlineLevel="4">
      <c r="A522" s="1"/>
      <c r="B522" s="1">
        <v>930132</v>
      </c>
      <c r="C522" s="1" t="s">
        <v>1603</v>
      </c>
      <c r="D522" s="1"/>
      <c r="E522" s="2" t="s">
        <v>1604</v>
      </c>
      <c r="F522" s="2" t="s">
        <v>1605</v>
      </c>
      <c r="G522" s="2">
        <v>0</v>
      </c>
      <c r="H522" s="2">
        <v>0</v>
      </c>
      <c r="I522" s="1">
        <v>0</v>
      </c>
      <c r="J522" s="3" t="s">
        <v>447</v>
      </c>
      <c r="K522" s="2" t="str">
        <f>J522*702.87</f>
        <v>0</v>
      </c>
      <c r="L522" s="5"/>
    </row>
    <row r="523" spans="1:12" customHeight="1" ht="105" outlineLevel="4">
      <c r="A523" s="1"/>
      <c r="B523" s="1">
        <v>930133</v>
      </c>
      <c r="C523" s="1" t="s">
        <v>1606</v>
      </c>
      <c r="D523" s="1"/>
      <c r="E523" s="2" t="s">
        <v>1607</v>
      </c>
      <c r="F523" s="2" t="s">
        <v>1608</v>
      </c>
      <c r="G523" s="2">
        <v>0</v>
      </c>
      <c r="H523" s="2">
        <v>0</v>
      </c>
      <c r="I523" s="1">
        <v>0</v>
      </c>
      <c r="J523" s="3" t="s">
        <v>447</v>
      </c>
      <c r="K523" s="2" t="str">
        <f>J523*982.80</f>
        <v>0</v>
      </c>
      <c r="L523" s="5"/>
    </row>
    <row r="524" spans="1:12" customHeight="1" ht="105" outlineLevel="4">
      <c r="A524" s="1"/>
      <c r="B524" s="1">
        <v>930134</v>
      </c>
      <c r="C524" s="1" t="s">
        <v>1609</v>
      </c>
      <c r="D524" s="1"/>
      <c r="E524" s="2" t="s">
        <v>1610</v>
      </c>
      <c r="F524" s="2" t="s">
        <v>1611</v>
      </c>
      <c r="G524" s="2" t="s">
        <v>58</v>
      </c>
      <c r="H524" s="2">
        <v>0</v>
      </c>
      <c r="I524" s="1">
        <v>0</v>
      </c>
      <c r="J524" s="3" t="s">
        <v>447</v>
      </c>
      <c r="K524" s="2" t="str">
        <f>J524*3.99</f>
        <v>0</v>
      </c>
      <c r="L524" s="5"/>
    </row>
    <row r="525" spans="1:12" customHeight="1" ht="105" outlineLevel="4">
      <c r="A525" s="1"/>
      <c r="B525" s="1">
        <v>930135</v>
      </c>
      <c r="C525" s="1" t="s">
        <v>1612</v>
      </c>
      <c r="D525" s="1"/>
      <c r="E525" s="2" t="s">
        <v>1613</v>
      </c>
      <c r="F525" s="2" t="s">
        <v>1614</v>
      </c>
      <c r="G525" s="2" t="s">
        <v>74</v>
      </c>
      <c r="H525" s="2">
        <v>0</v>
      </c>
      <c r="I525" s="1">
        <v>0</v>
      </c>
      <c r="J525" s="3" t="s">
        <v>447</v>
      </c>
      <c r="K525" s="2" t="str">
        <f>J525*6.30</f>
        <v>0</v>
      </c>
      <c r="L525" s="5"/>
    </row>
    <row r="526" spans="1:12" customHeight="1" ht="105" outlineLevel="4">
      <c r="A526" s="1"/>
      <c r="B526" s="1">
        <v>930136</v>
      </c>
      <c r="C526" s="1" t="s">
        <v>1615</v>
      </c>
      <c r="D526" s="1"/>
      <c r="E526" s="2" t="s">
        <v>1616</v>
      </c>
      <c r="F526" s="2" t="s">
        <v>1617</v>
      </c>
      <c r="G526" s="2" t="s">
        <v>152</v>
      </c>
      <c r="H526" s="2">
        <v>0</v>
      </c>
      <c r="I526" s="1">
        <v>0</v>
      </c>
      <c r="J526" s="3" t="s">
        <v>447</v>
      </c>
      <c r="K526" s="2" t="str">
        <f>J526*10.29</f>
        <v>0</v>
      </c>
      <c r="L526" s="5"/>
    </row>
    <row r="527" spans="1:12" customHeight="1" ht="105" outlineLevel="4">
      <c r="A527" s="1"/>
      <c r="B527" s="1">
        <v>930137</v>
      </c>
      <c r="C527" s="1" t="s">
        <v>1618</v>
      </c>
      <c r="D527" s="1"/>
      <c r="E527" s="2" t="s">
        <v>1619</v>
      </c>
      <c r="F527" s="2" t="s">
        <v>1620</v>
      </c>
      <c r="G527" s="2" t="s">
        <v>58</v>
      </c>
      <c r="H527" s="2">
        <v>0</v>
      </c>
      <c r="I527" s="1">
        <v>0</v>
      </c>
      <c r="J527" s="3" t="s">
        <v>447</v>
      </c>
      <c r="K527" s="2" t="str">
        <f>J527*24.15</f>
        <v>0</v>
      </c>
      <c r="L527" s="5"/>
    </row>
    <row r="528" spans="1:12" customHeight="1" ht="105" outlineLevel="4">
      <c r="A528" s="1"/>
      <c r="B528" s="1">
        <v>930138</v>
      </c>
      <c r="C528" s="1" t="s">
        <v>1621</v>
      </c>
      <c r="D528" s="1"/>
      <c r="E528" s="2" t="s">
        <v>1622</v>
      </c>
      <c r="F528" s="2" t="s">
        <v>1623</v>
      </c>
      <c r="G528" s="2" t="s">
        <v>152</v>
      </c>
      <c r="H528" s="2">
        <v>0</v>
      </c>
      <c r="I528" s="1">
        <v>0</v>
      </c>
      <c r="J528" s="3" t="s">
        <v>447</v>
      </c>
      <c r="K528" s="2" t="str">
        <f>J528*29.19</f>
        <v>0</v>
      </c>
      <c r="L528" s="5"/>
    </row>
    <row r="529" spans="1:12" customHeight="1" ht="105" outlineLevel="4">
      <c r="A529" s="1"/>
      <c r="B529" s="1">
        <v>930139</v>
      </c>
      <c r="C529" s="1" t="s">
        <v>1624</v>
      </c>
      <c r="D529" s="1"/>
      <c r="E529" s="2" t="s">
        <v>1625</v>
      </c>
      <c r="F529" s="2" t="s">
        <v>1626</v>
      </c>
      <c r="G529" s="2" t="s">
        <v>153</v>
      </c>
      <c r="H529" s="2">
        <v>0</v>
      </c>
      <c r="I529" s="1">
        <v>0</v>
      </c>
      <c r="J529" s="3" t="s">
        <v>447</v>
      </c>
      <c r="K529" s="2" t="str">
        <f>J529*52.08</f>
        <v>0</v>
      </c>
      <c r="L529" s="5"/>
    </row>
    <row r="530" spans="1:12" customHeight="1" ht="105" outlineLevel="4">
      <c r="A530" s="1"/>
      <c r="B530" s="1">
        <v>930140</v>
      </c>
      <c r="C530" s="1" t="s">
        <v>1627</v>
      </c>
      <c r="D530" s="1"/>
      <c r="E530" s="2" t="s">
        <v>1628</v>
      </c>
      <c r="F530" s="2" t="s">
        <v>1629</v>
      </c>
      <c r="G530" s="2" t="s">
        <v>153</v>
      </c>
      <c r="H530" s="2">
        <v>0</v>
      </c>
      <c r="I530" s="1">
        <v>0</v>
      </c>
      <c r="J530" s="3" t="s">
        <v>447</v>
      </c>
      <c r="K530" s="2" t="str">
        <f>J530*67.20</f>
        <v>0</v>
      </c>
      <c r="L530" s="5"/>
    </row>
    <row r="531" spans="1:12" customHeight="1" ht="105" outlineLevel="4">
      <c r="A531" s="1"/>
      <c r="B531" s="1">
        <v>930141</v>
      </c>
      <c r="C531" s="1" t="s">
        <v>1630</v>
      </c>
      <c r="D531" s="1"/>
      <c r="E531" s="2" t="s">
        <v>1631</v>
      </c>
      <c r="F531" s="2" t="s">
        <v>1632</v>
      </c>
      <c r="G531" s="2">
        <v>8</v>
      </c>
      <c r="H531" s="2">
        <v>0</v>
      </c>
      <c r="I531" s="1">
        <v>0</v>
      </c>
      <c r="J531" s="3" t="s">
        <v>447</v>
      </c>
      <c r="K531" s="2" t="str">
        <f>J531*136.08</f>
        <v>0</v>
      </c>
      <c r="L531" s="5"/>
    </row>
    <row r="532" spans="1:12" customHeight="1" ht="105" outlineLevel="4">
      <c r="A532" s="1"/>
      <c r="B532" s="1">
        <v>930142</v>
      </c>
      <c r="C532" s="1" t="s">
        <v>1633</v>
      </c>
      <c r="D532" s="1"/>
      <c r="E532" s="2" t="s">
        <v>1634</v>
      </c>
      <c r="F532" s="2" t="s">
        <v>593</v>
      </c>
      <c r="G532" s="2" t="s">
        <v>153</v>
      </c>
      <c r="H532" s="2">
        <v>0</v>
      </c>
      <c r="I532" s="1" t="s">
        <v>152</v>
      </c>
      <c r="J532" s="3" t="s">
        <v>447</v>
      </c>
      <c r="K532" s="2" t="str">
        <f>J532*29.61</f>
        <v>0</v>
      </c>
      <c r="L532" s="5"/>
    </row>
    <row r="533" spans="1:12" customHeight="1" ht="105" outlineLevel="4">
      <c r="A533" s="1"/>
      <c r="B533" s="1">
        <v>930143</v>
      </c>
      <c r="C533" s="1" t="s">
        <v>1635</v>
      </c>
      <c r="D533" s="1"/>
      <c r="E533" s="2" t="s">
        <v>1636</v>
      </c>
      <c r="F533" s="2" t="s">
        <v>1637</v>
      </c>
      <c r="G533" s="2">
        <v>7</v>
      </c>
      <c r="H533" s="2">
        <v>0</v>
      </c>
      <c r="I533" s="1" t="s">
        <v>153</v>
      </c>
      <c r="J533" s="3" t="s">
        <v>447</v>
      </c>
      <c r="K533" s="2" t="str">
        <f>J533*43.26</f>
        <v>0</v>
      </c>
      <c r="L533" s="5"/>
    </row>
    <row r="534" spans="1:12" customHeight="1" ht="105" outlineLevel="4">
      <c r="A534" s="1"/>
      <c r="B534" s="1">
        <v>930144</v>
      </c>
      <c r="C534" s="1" t="s">
        <v>1638</v>
      </c>
      <c r="D534" s="1"/>
      <c r="E534" s="2" t="s">
        <v>1639</v>
      </c>
      <c r="F534" s="2" t="s">
        <v>1640</v>
      </c>
      <c r="G534" s="2" t="s">
        <v>153</v>
      </c>
      <c r="H534" s="2">
        <v>0</v>
      </c>
      <c r="I534" s="1">
        <v>0</v>
      </c>
      <c r="J534" s="3" t="s">
        <v>447</v>
      </c>
      <c r="K534" s="2" t="str">
        <f>J534*76.44</f>
        <v>0</v>
      </c>
      <c r="L534" s="5"/>
    </row>
    <row r="535" spans="1:12" customHeight="1" ht="105" outlineLevel="4">
      <c r="A535" s="1"/>
      <c r="B535" s="1">
        <v>930145</v>
      </c>
      <c r="C535" s="1" t="s">
        <v>1641</v>
      </c>
      <c r="D535" s="1"/>
      <c r="E535" s="2" t="s">
        <v>1642</v>
      </c>
      <c r="F535" s="2" t="s">
        <v>1643</v>
      </c>
      <c r="G535" s="2" t="s">
        <v>153</v>
      </c>
      <c r="H535" s="2">
        <v>0</v>
      </c>
      <c r="I535" s="1">
        <v>0</v>
      </c>
      <c r="J535" s="3" t="s">
        <v>447</v>
      </c>
      <c r="K535" s="2" t="str">
        <f>J535*184.17</f>
        <v>0</v>
      </c>
      <c r="L535" s="5"/>
    </row>
    <row r="536" spans="1:12" customHeight="1" ht="105" outlineLevel="4">
      <c r="A536" s="1"/>
      <c r="B536" s="1">
        <v>930146</v>
      </c>
      <c r="C536" s="1" t="s">
        <v>1644</v>
      </c>
      <c r="D536" s="1" t="s">
        <v>1645</v>
      </c>
      <c r="E536" s="2" t="s">
        <v>1646</v>
      </c>
      <c r="F536" s="2" t="s">
        <v>1647</v>
      </c>
      <c r="G536" s="2" t="s">
        <v>136</v>
      </c>
      <c r="H536" s="2">
        <v>0</v>
      </c>
      <c r="I536" s="1">
        <v>0</v>
      </c>
      <c r="J536" s="3" t="s">
        <v>447</v>
      </c>
      <c r="K536" s="2" t="str">
        <f>J536*16.80</f>
        <v>0</v>
      </c>
      <c r="L536" s="5"/>
    </row>
    <row r="537" spans="1:12" customHeight="1" ht="105" outlineLevel="4">
      <c r="A537" s="1"/>
      <c r="B537" s="1">
        <v>930147</v>
      </c>
      <c r="C537" s="1" t="s">
        <v>1648</v>
      </c>
      <c r="D537" s="1"/>
      <c r="E537" s="2" t="s">
        <v>1649</v>
      </c>
      <c r="F537" s="2" t="s">
        <v>1650</v>
      </c>
      <c r="G537" s="2" t="s">
        <v>74</v>
      </c>
      <c r="H537" s="2">
        <v>0</v>
      </c>
      <c r="I537" s="1">
        <v>0</v>
      </c>
      <c r="J537" s="3" t="s">
        <v>447</v>
      </c>
      <c r="K537" s="2" t="str">
        <f>J537*22.89</f>
        <v>0</v>
      </c>
      <c r="L537" s="5"/>
    </row>
    <row r="538" spans="1:12" customHeight="1" ht="105" outlineLevel="4">
      <c r="A538" s="1"/>
      <c r="B538" s="1">
        <v>930148</v>
      </c>
      <c r="C538" s="1" t="s">
        <v>1651</v>
      </c>
      <c r="D538" s="1"/>
      <c r="E538" s="2" t="s">
        <v>1652</v>
      </c>
      <c r="F538" s="2" t="s">
        <v>1653</v>
      </c>
      <c r="G538" s="2" t="s">
        <v>153</v>
      </c>
      <c r="H538" s="2">
        <v>0</v>
      </c>
      <c r="I538" s="1">
        <v>0</v>
      </c>
      <c r="J538" s="3" t="s">
        <v>447</v>
      </c>
      <c r="K538" s="2" t="str">
        <f>J538*47.46</f>
        <v>0</v>
      </c>
      <c r="L538" s="5"/>
    </row>
    <row r="539" spans="1:12" customHeight="1" ht="105" outlineLevel="4">
      <c r="A539" s="1"/>
      <c r="B539" s="1">
        <v>930149</v>
      </c>
      <c r="C539" s="1" t="s">
        <v>1654</v>
      </c>
      <c r="D539" s="1"/>
      <c r="E539" s="2" t="s">
        <v>1655</v>
      </c>
      <c r="F539" s="2" t="s">
        <v>1656</v>
      </c>
      <c r="G539" s="2">
        <v>8</v>
      </c>
      <c r="H539" s="2">
        <v>0</v>
      </c>
      <c r="I539" s="1">
        <v>0</v>
      </c>
      <c r="J539" s="3" t="s">
        <v>447</v>
      </c>
      <c r="K539" s="2" t="str">
        <f>J539*129.60</f>
        <v>0</v>
      </c>
      <c r="L539" s="5"/>
    </row>
    <row r="540" spans="1:12" customHeight="1" ht="105" outlineLevel="4">
      <c r="A540" s="1"/>
      <c r="B540" s="1">
        <v>930150</v>
      </c>
      <c r="C540" s="1" t="s">
        <v>1657</v>
      </c>
      <c r="D540" s="1"/>
      <c r="E540" s="2" t="s">
        <v>1658</v>
      </c>
      <c r="F540" s="2" t="s">
        <v>1659</v>
      </c>
      <c r="G540" s="2">
        <v>8</v>
      </c>
      <c r="H540" s="2">
        <v>0</v>
      </c>
      <c r="I540" s="1">
        <v>0</v>
      </c>
      <c r="J540" s="3" t="s">
        <v>447</v>
      </c>
      <c r="K540" s="2" t="str">
        <f>J540*208.80</f>
        <v>0</v>
      </c>
      <c r="L540" s="5"/>
    </row>
    <row r="541" spans="1:12" customHeight="1" ht="105" outlineLevel="4">
      <c r="A541" s="1"/>
      <c r="B541" s="1">
        <v>930151</v>
      </c>
      <c r="C541" s="1" t="s">
        <v>1660</v>
      </c>
      <c r="D541" s="1"/>
      <c r="E541" s="2" t="s">
        <v>1661</v>
      </c>
      <c r="F541" s="2" t="s">
        <v>1662</v>
      </c>
      <c r="G541" s="2">
        <v>8</v>
      </c>
      <c r="H541" s="2">
        <v>0</v>
      </c>
      <c r="I541" s="1">
        <v>0</v>
      </c>
      <c r="J541" s="3" t="s">
        <v>447</v>
      </c>
      <c r="K541" s="2" t="str">
        <f>J541*393.71</f>
        <v>0</v>
      </c>
      <c r="L541" s="5"/>
    </row>
    <row r="542" spans="1:12" customHeight="1" ht="105" outlineLevel="4">
      <c r="A542" s="1"/>
      <c r="B542" s="1">
        <v>930152</v>
      </c>
      <c r="C542" s="1" t="s">
        <v>1663</v>
      </c>
      <c r="D542" s="1"/>
      <c r="E542" s="2" t="s">
        <v>1664</v>
      </c>
      <c r="F542" s="2" t="s">
        <v>1665</v>
      </c>
      <c r="G542" s="2">
        <v>0</v>
      </c>
      <c r="H542" s="2">
        <v>0</v>
      </c>
      <c r="I542" s="1">
        <v>0</v>
      </c>
      <c r="J542" s="3" t="s">
        <v>447</v>
      </c>
      <c r="K542" s="2" t="str">
        <f>J542*736.20</f>
        <v>0</v>
      </c>
      <c r="L542" s="5"/>
    </row>
    <row r="543" spans="1:12" customHeight="1" ht="105" outlineLevel="4">
      <c r="A543" s="1"/>
      <c r="B543" s="1">
        <v>930153</v>
      </c>
      <c r="C543" s="1" t="s">
        <v>1666</v>
      </c>
      <c r="D543" s="1"/>
      <c r="E543" s="2" t="s">
        <v>1667</v>
      </c>
      <c r="F543" s="2" t="s">
        <v>1668</v>
      </c>
      <c r="G543" s="2">
        <v>0</v>
      </c>
      <c r="H543" s="2">
        <v>0</v>
      </c>
      <c r="I543" s="1">
        <v>0</v>
      </c>
      <c r="J543" s="3" t="s">
        <v>447</v>
      </c>
      <c r="K543" s="2" t="str">
        <f>J543*1791.51</f>
        <v>0</v>
      </c>
      <c r="L543" s="5"/>
    </row>
    <row r="544" spans="1:12" customHeight="1" ht="105" outlineLevel="4">
      <c r="A544" s="1"/>
      <c r="B544" s="1">
        <v>930154</v>
      </c>
      <c r="C544" s="1" t="s">
        <v>1669</v>
      </c>
      <c r="D544" s="1"/>
      <c r="E544" s="2" t="s">
        <v>1670</v>
      </c>
      <c r="F544" s="2" t="s">
        <v>1671</v>
      </c>
      <c r="G544" s="2">
        <v>0</v>
      </c>
      <c r="H544" s="2">
        <v>0</v>
      </c>
      <c r="I544" s="1">
        <v>0</v>
      </c>
      <c r="J544" s="3" t="s">
        <v>447</v>
      </c>
      <c r="K544" s="2" t="str">
        <f>J544*2310.84</f>
        <v>0</v>
      </c>
      <c r="L544" s="5"/>
    </row>
    <row r="545" spans="1:12" customHeight="1" ht="105" outlineLevel="4">
      <c r="A545" s="1"/>
      <c r="B545" s="1">
        <v>930155</v>
      </c>
      <c r="C545" s="1" t="s">
        <v>1672</v>
      </c>
      <c r="D545" s="1"/>
      <c r="E545" s="2" t="s">
        <v>1673</v>
      </c>
      <c r="F545" s="2" t="s">
        <v>1674</v>
      </c>
      <c r="G545" s="2">
        <v>0</v>
      </c>
      <c r="H545" s="2">
        <v>0</v>
      </c>
      <c r="I545" s="1">
        <v>0</v>
      </c>
      <c r="J545" s="3" t="s">
        <v>447</v>
      </c>
      <c r="K545" s="2" t="str">
        <f>J545*2888.97</f>
        <v>0</v>
      </c>
      <c r="L545" s="5"/>
    </row>
    <row r="546" spans="1:12" customHeight="1" ht="105" outlineLevel="4">
      <c r="A546" s="1"/>
      <c r="B546" s="1">
        <v>930156</v>
      </c>
      <c r="C546" s="1" t="s">
        <v>1675</v>
      </c>
      <c r="D546" s="1"/>
      <c r="E546" s="2" t="s">
        <v>1676</v>
      </c>
      <c r="F546" s="2" t="s">
        <v>1677</v>
      </c>
      <c r="G546" s="2">
        <v>0</v>
      </c>
      <c r="H546" s="2">
        <v>0</v>
      </c>
      <c r="I546" s="1">
        <v>0</v>
      </c>
      <c r="J546" s="3" t="s">
        <v>447</v>
      </c>
      <c r="K546" s="2" t="str">
        <f>J546*4340.91</f>
        <v>0</v>
      </c>
      <c r="L546" s="5"/>
    </row>
    <row r="547" spans="1:12" customHeight="1" ht="105" outlineLevel="4">
      <c r="A547" s="1"/>
      <c r="B547" s="1">
        <v>930157</v>
      </c>
      <c r="C547" s="1" t="s">
        <v>1678</v>
      </c>
      <c r="D547" s="1"/>
      <c r="E547" s="2" t="s">
        <v>1679</v>
      </c>
      <c r="F547" s="2" t="s">
        <v>1215</v>
      </c>
      <c r="G547" s="2" t="s">
        <v>153</v>
      </c>
      <c r="H547" s="2">
        <v>0</v>
      </c>
      <c r="I547" s="1">
        <v>0</v>
      </c>
      <c r="J547" s="3" t="s">
        <v>447</v>
      </c>
      <c r="K547" s="2" t="str">
        <f>J547*20.37</f>
        <v>0</v>
      </c>
      <c r="L547" s="5"/>
    </row>
    <row r="548" spans="1:12" customHeight="1" ht="105" outlineLevel="4">
      <c r="A548" s="1"/>
      <c r="B548" s="1">
        <v>930158</v>
      </c>
      <c r="C548" s="1" t="s">
        <v>1680</v>
      </c>
      <c r="D548" s="1"/>
      <c r="E548" s="2" t="s">
        <v>1681</v>
      </c>
      <c r="F548" s="2" t="s">
        <v>1682</v>
      </c>
      <c r="G548" s="2" t="s">
        <v>153</v>
      </c>
      <c r="H548" s="2">
        <v>0</v>
      </c>
      <c r="I548" s="1">
        <v>0</v>
      </c>
      <c r="J548" s="3" t="s">
        <v>447</v>
      </c>
      <c r="K548" s="2" t="str">
        <f>J548*36.96</f>
        <v>0</v>
      </c>
      <c r="L548" s="5"/>
    </row>
    <row r="549" spans="1:12" customHeight="1" ht="105" outlineLevel="4">
      <c r="A549" s="1"/>
      <c r="B549" s="1">
        <v>930159</v>
      </c>
      <c r="C549" s="1" t="s">
        <v>1683</v>
      </c>
      <c r="D549" s="1"/>
      <c r="E549" s="2" t="s">
        <v>1684</v>
      </c>
      <c r="F549" s="2" t="s">
        <v>1626</v>
      </c>
      <c r="G549" s="2">
        <v>-8</v>
      </c>
      <c r="H549" s="2">
        <v>0</v>
      </c>
      <c r="I549" s="1">
        <v>10</v>
      </c>
      <c r="J549" s="3" t="s">
        <v>447</v>
      </c>
      <c r="K549" s="2" t="str">
        <f>J549*52.08</f>
        <v>0</v>
      </c>
      <c r="L549" s="5"/>
    </row>
    <row r="550" spans="1:12" customHeight="1" ht="105" outlineLevel="4">
      <c r="A550" s="1"/>
      <c r="B550" s="1">
        <v>930160</v>
      </c>
      <c r="C550" s="1" t="s">
        <v>1685</v>
      </c>
      <c r="D550" s="1"/>
      <c r="E550" s="2" t="s">
        <v>1686</v>
      </c>
      <c r="F550" s="2" t="s">
        <v>991</v>
      </c>
      <c r="G550" s="2" t="s">
        <v>153</v>
      </c>
      <c r="H550" s="2">
        <v>0</v>
      </c>
      <c r="I550" s="1">
        <v>0</v>
      </c>
      <c r="J550" s="3" t="s">
        <v>447</v>
      </c>
      <c r="K550" s="2" t="str">
        <f>J550*86.10</f>
        <v>0</v>
      </c>
      <c r="L550" s="5"/>
    </row>
    <row r="551" spans="1:12" customHeight="1" ht="105" outlineLevel="4">
      <c r="A551" s="1"/>
      <c r="B551" s="1">
        <v>930161</v>
      </c>
      <c r="C551" s="1" t="s">
        <v>1687</v>
      </c>
      <c r="D551" s="1"/>
      <c r="E551" s="2" t="s">
        <v>1688</v>
      </c>
      <c r="F551" s="2" t="s">
        <v>1689</v>
      </c>
      <c r="G551" s="2">
        <v>8</v>
      </c>
      <c r="H551" s="2">
        <v>0</v>
      </c>
      <c r="I551" s="1">
        <v>0</v>
      </c>
      <c r="J551" s="3" t="s">
        <v>447</v>
      </c>
      <c r="K551" s="2" t="str">
        <f>J551*159.18</f>
        <v>0</v>
      </c>
      <c r="L551" s="5"/>
    </row>
    <row r="552" spans="1:12" customHeight="1" ht="105" outlineLevel="4">
      <c r="A552" s="1"/>
      <c r="B552" s="1">
        <v>930162</v>
      </c>
      <c r="C552" s="1" t="s">
        <v>1690</v>
      </c>
      <c r="D552" s="1"/>
      <c r="E552" s="2" t="s">
        <v>1691</v>
      </c>
      <c r="F552" s="2" t="s">
        <v>1692</v>
      </c>
      <c r="G552" s="2">
        <v>9</v>
      </c>
      <c r="H552" s="2">
        <v>0</v>
      </c>
      <c r="I552" s="1">
        <v>0</v>
      </c>
      <c r="J552" s="3" t="s">
        <v>447</v>
      </c>
      <c r="K552" s="2" t="str">
        <f>J552*168.21</f>
        <v>0</v>
      </c>
      <c r="L552" s="5"/>
    </row>
    <row r="553" spans="1:12" customHeight="1" ht="105" outlineLevel="4">
      <c r="A553" s="1"/>
      <c r="B553" s="1">
        <v>930163</v>
      </c>
      <c r="C553" s="1" t="s">
        <v>1693</v>
      </c>
      <c r="D553" s="1"/>
      <c r="E553" s="2" t="s">
        <v>1694</v>
      </c>
      <c r="F553" s="2" t="s">
        <v>1695</v>
      </c>
      <c r="G553" s="2">
        <v>0</v>
      </c>
      <c r="H553" s="2">
        <v>0</v>
      </c>
      <c r="I553" s="1">
        <v>0</v>
      </c>
      <c r="J553" s="3" t="s">
        <v>447</v>
      </c>
      <c r="K553" s="2" t="str">
        <f>J553*550.41</f>
        <v>0</v>
      </c>
      <c r="L553" s="5"/>
    </row>
    <row r="554" spans="1:12" customHeight="1" ht="105" outlineLevel="4">
      <c r="A554" s="1"/>
      <c r="B554" s="1">
        <v>930164</v>
      </c>
      <c r="C554" s="1" t="s">
        <v>1696</v>
      </c>
      <c r="D554" s="1"/>
      <c r="E554" s="2" t="s">
        <v>1697</v>
      </c>
      <c r="F554" s="2" t="s">
        <v>1698</v>
      </c>
      <c r="G554" s="2">
        <v>0</v>
      </c>
      <c r="H554" s="2">
        <v>0</v>
      </c>
      <c r="I554" s="1">
        <v>0</v>
      </c>
      <c r="J554" s="3" t="s">
        <v>447</v>
      </c>
      <c r="K554" s="2" t="str">
        <f>J554*658.56</f>
        <v>0</v>
      </c>
      <c r="L554" s="5"/>
    </row>
    <row r="555" spans="1:12" customHeight="1" ht="105" outlineLevel="4">
      <c r="A555" s="1"/>
      <c r="B555" s="1">
        <v>930165</v>
      </c>
      <c r="C555" s="1" t="s">
        <v>1699</v>
      </c>
      <c r="D555" s="1"/>
      <c r="E555" s="2" t="s">
        <v>1700</v>
      </c>
      <c r="F555" s="2" t="s">
        <v>1701</v>
      </c>
      <c r="G555" s="2" t="s">
        <v>153</v>
      </c>
      <c r="H555" s="2">
        <v>0</v>
      </c>
      <c r="I555" s="1">
        <v>0</v>
      </c>
      <c r="J555" s="3" t="s">
        <v>447</v>
      </c>
      <c r="K555" s="2" t="str">
        <f>J555*235.20</f>
        <v>0</v>
      </c>
      <c r="L555" s="5"/>
    </row>
    <row r="556" spans="1:12" customHeight="1" ht="105" outlineLevel="4">
      <c r="A556" s="1"/>
      <c r="B556" s="1">
        <v>930166</v>
      </c>
      <c r="C556" s="1" t="s">
        <v>1702</v>
      </c>
      <c r="D556" s="1"/>
      <c r="E556" s="2" t="s">
        <v>1703</v>
      </c>
      <c r="F556" s="2" t="s">
        <v>1704</v>
      </c>
      <c r="G556" s="2" t="s">
        <v>153</v>
      </c>
      <c r="H556" s="2">
        <v>0</v>
      </c>
      <c r="I556" s="1">
        <v>0</v>
      </c>
      <c r="J556" s="3" t="s">
        <v>447</v>
      </c>
      <c r="K556" s="2" t="str">
        <f>J556*274.47</f>
        <v>0</v>
      </c>
      <c r="L556" s="5"/>
    </row>
    <row r="557" spans="1:12" customHeight="1" ht="105" outlineLevel="4">
      <c r="A557" s="1"/>
      <c r="B557" s="1">
        <v>930167</v>
      </c>
      <c r="C557" s="1" t="s">
        <v>1705</v>
      </c>
      <c r="D557" s="1"/>
      <c r="E557" s="2" t="s">
        <v>1706</v>
      </c>
      <c r="F557" s="2" t="s">
        <v>1707</v>
      </c>
      <c r="G557" s="2">
        <v>2</v>
      </c>
      <c r="H557" s="2">
        <v>0</v>
      </c>
      <c r="I557" s="1">
        <v>9</v>
      </c>
      <c r="J557" s="3" t="s">
        <v>447</v>
      </c>
      <c r="K557" s="2" t="str">
        <f>J557*314.16</f>
        <v>0</v>
      </c>
      <c r="L557" s="5"/>
    </row>
    <row r="558" spans="1:12" customHeight="1" ht="105" outlineLevel="4">
      <c r="A558" s="1"/>
      <c r="B558" s="1">
        <v>930168</v>
      </c>
      <c r="C558" s="1" t="s">
        <v>1708</v>
      </c>
      <c r="D558" s="1"/>
      <c r="E558" s="2" t="s">
        <v>1709</v>
      </c>
      <c r="F558" s="2" t="s">
        <v>1710</v>
      </c>
      <c r="G558" s="2">
        <v>6</v>
      </c>
      <c r="H558" s="2">
        <v>0</v>
      </c>
      <c r="I558" s="1">
        <v>0</v>
      </c>
      <c r="J558" s="3" t="s">
        <v>447</v>
      </c>
      <c r="K558" s="2" t="str">
        <f>J558*445.83</f>
        <v>0</v>
      </c>
      <c r="L558" s="5"/>
    </row>
    <row r="559" spans="1:12" customHeight="1" ht="105" outlineLevel="4">
      <c r="A559" s="1"/>
      <c r="B559" s="1">
        <v>930169</v>
      </c>
      <c r="C559" s="1" t="s">
        <v>1711</v>
      </c>
      <c r="D559" s="1"/>
      <c r="E559" s="2" t="s">
        <v>1712</v>
      </c>
      <c r="F559" s="2" t="s">
        <v>1713</v>
      </c>
      <c r="G559" s="2" t="s">
        <v>153</v>
      </c>
      <c r="H559" s="2">
        <v>0</v>
      </c>
      <c r="I559" s="1">
        <v>0</v>
      </c>
      <c r="J559" s="3" t="s">
        <v>447</v>
      </c>
      <c r="K559" s="2" t="str">
        <f>J559*424.62</f>
        <v>0</v>
      </c>
      <c r="L559" s="5"/>
    </row>
    <row r="560" spans="1:12" customHeight="1" ht="105" outlineLevel="4">
      <c r="A560" s="1"/>
      <c r="B560" s="1">
        <v>930170</v>
      </c>
      <c r="C560" s="1" t="s">
        <v>1714</v>
      </c>
      <c r="D560" s="1"/>
      <c r="E560" s="2" t="s">
        <v>1715</v>
      </c>
      <c r="F560" s="2" t="s">
        <v>1716</v>
      </c>
      <c r="G560" s="2">
        <v>6</v>
      </c>
      <c r="H560" s="2">
        <v>0</v>
      </c>
      <c r="I560" s="1">
        <v>0</v>
      </c>
      <c r="J560" s="3" t="s">
        <v>447</v>
      </c>
      <c r="K560" s="2" t="str">
        <f>J560*620.97</f>
        <v>0</v>
      </c>
      <c r="L560" s="5"/>
    </row>
    <row r="561" spans="1:12" customHeight="1" ht="105" outlineLevel="4">
      <c r="A561" s="1"/>
      <c r="B561" s="1">
        <v>930171</v>
      </c>
      <c r="C561" s="1" t="s">
        <v>1717</v>
      </c>
      <c r="D561" s="1"/>
      <c r="E561" s="2" t="s">
        <v>1718</v>
      </c>
      <c r="F561" s="2" t="s">
        <v>1719</v>
      </c>
      <c r="G561" s="2">
        <v>0</v>
      </c>
      <c r="H561" s="2">
        <v>0</v>
      </c>
      <c r="I561" s="1">
        <v>0</v>
      </c>
      <c r="J561" s="3" t="s">
        <v>447</v>
      </c>
      <c r="K561" s="2" t="str">
        <f>J561*21.00</f>
        <v>0</v>
      </c>
      <c r="L561" s="5"/>
    </row>
    <row r="562" spans="1:12" customHeight="1" ht="105" outlineLevel="4">
      <c r="A562" s="1"/>
      <c r="B562" s="1">
        <v>930172</v>
      </c>
      <c r="C562" s="1" t="s">
        <v>1720</v>
      </c>
      <c r="D562" s="1"/>
      <c r="E562" s="2" t="s">
        <v>1721</v>
      </c>
      <c r="F562" s="2" t="s">
        <v>1722</v>
      </c>
      <c r="G562" s="2">
        <v>0</v>
      </c>
      <c r="H562" s="2">
        <v>0</v>
      </c>
      <c r="I562" s="1">
        <v>0</v>
      </c>
      <c r="J562" s="3" t="s">
        <v>447</v>
      </c>
      <c r="K562" s="2" t="str">
        <f>J562*19.53</f>
        <v>0</v>
      </c>
      <c r="L562" s="5"/>
    </row>
    <row r="563" spans="1:12" customHeight="1" ht="105" outlineLevel="4">
      <c r="A563" s="1"/>
      <c r="B563" s="1">
        <v>930173</v>
      </c>
      <c r="C563" s="1" t="s">
        <v>1723</v>
      </c>
      <c r="D563" s="1"/>
      <c r="E563" s="2" t="s">
        <v>1724</v>
      </c>
      <c r="F563" s="2" t="s">
        <v>491</v>
      </c>
      <c r="G563" s="2">
        <v>3</v>
      </c>
      <c r="H563" s="2">
        <v>0</v>
      </c>
      <c r="I563" s="1">
        <v>0</v>
      </c>
      <c r="J563" s="3" t="s">
        <v>447</v>
      </c>
      <c r="K563" s="2" t="str">
        <f>J563*22.26</f>
        <v>0</v>
      </c>
      <c r="L563" s="5"/>
    </row>
    <row r="564" spans="1:12" customHeight="1" ht="105" outlineLevel="4">
      <c r="A564" s="1"/>
      <c r="B564" s="1">
        <v>930174</v>
      </c>
      <c r="C564" s="1" t="s">
        <v>1725</v>
      </c>
      <c r="D564" s="1"/>
      <c r="E564" s="2" t="s">
        <v>1726</v>
      </c>
      <c r="F564" s="2" t="s">
        <v>1727</v>
      </c>
      <c r="G564" s="2">
        <v>3</v>
      </c>
      <c r="H564" s="2">
        <v>0</v>
      </c>
      <c r="I564" s="1">
        <v>0</v>
      </c>
      <c r="J564" s="3" t="s">
        <v>447</v>
      </c>
      <c r="K564" s="2" t="str">
        <f>J564*25.41</f>
        <v>0</v>
      </c>
      <c r="L564" s="5"/>
    </row>
    <row r="565" spans="1:12" customHeight="1" ht="105" outlineLevel="4">
      <c r="A565" s="1"/>
      <c r="B565" s="1">
        <v>930175</v>
      </c>
      <c r="C565" s="1" t="s">
        <v>1728</v>
      </c>
      <c r="D565" s="1"/>
      <c r="E565" s="2" t="s">
        <v>1729</v>
      </c>
      <c r="F565" s="2" t="s">
        <v>1727</v>
      </c>
      <c r="G565" s="2">
        <v>0</v>
      </c>
      <c r="H565" s="2">
        <v>0</v>
      </c>
      <c r="I565" s="1">
        <v>0</v>
      </c>
      <c r="J565" s="3" t="s">
        <v>447</v>
      </c>
      <c r="K565" s="2" t="str">
        <f>J565*25.41</f>
        <v>0</v>
      </c>
      <c r="L565" s="5"/>
    </row>
    <row r="566" spans="1:12" customHeight="1" ht="105" outlineLevel="4">
      <c r="A566" s="1"/>
      <c r="B566" s="1">
        <v>930176</v>
      </c>
      <c r="C566" s="1" t="s">
        <v>1730</v>
      </c>
      <c r="D566" s="1"/>
      <c r="E566" s="2" t="s">
        <v>1731</v>
      </c>
      <c r="F566" s="2" t="s">
        <v>1732</v>
      </c>
      <c r="G566" s="2">
        <v>1</v>
      </c>
      <c r="H566" s="2">
        <v>0</v>
      </c>
      <c r="I566" s="1">
        <v>0</v>
      </c>
      <c r="J566" s="3" t="s">
        <v>447</v>
      </c>
      <c r="K566" s="2" t="str">
        <f>J566*4506.78</f>
        <v>0</v>
      </c>
      <c r="L566" s="5"/>
    </row>
    <row r="567" spans="1:12" customHeight="1" ht="105" outlineLevel="4">
      <c r="A567" s="1"/>
      <c r="B567" s="1">
        <v>930177</v>
      </c>
      <c r="C567" s="1" t="s">
        <v>1733</v>
      </c>
      <c r="D567" s="1"/>
      <c r="E567" s="2" t="s">
        <v>1734</v>
      </c>
      <c r="F567" s="2" t="s">
        <v>1735</v>
      </c>
      <c r="G567" s="2">
        <v>0</v>
      </c>
      <c r="H567" s="2">
        <v>0</v>
      </c>
      <c r="I567" s="1">
        <v>0</v>
      </c>
      <c r="J567" s="3" t="s">
        <v>447</v>
      </c>
      <c r="K567" s="2" t="str">
        <f>J567*5303.03</f>
        <v>0</v>
      </c>
      <c r="L567" s="5"/>
    </row>
    <row r="568" spans="1:12" customHeight="1" ht="105" outlineLevel="4">
      <c r="A568" s="1"/>
      <c r="B568" s="1">
        <v>930178</v>
      </c>
      <c r="C568" s="1" t="s">
        <v>1736</v>
      </c>
      <c r="D568" s="1"/>
      <c r="E568" s="2" t="s">
        <v>1737</v>
      </c>
      <c r="F568" s="2" t="s">
        <v>1738</v>
      </c>
      <c r="G568" s="2">
        <v>0</v>
      </c>
      <c r="H568" s="2">
        <v>0</v>
      </c>
      <c r="I568" s="1">
        <v>0</v>
      </c>
      <c r="J568" s="3" t="s">
        <v>447</v>
      </c>
      <c r="K568" s="2" t="str">
        <f>J568*6018.06</f>
        <v>0</v>
      </c>
      <c r="L568" s="5"/>
    </row>
    <row r="569" spans="1:12" customHeight="1" ht="105" outlineLevel="4">
      <c r="A569" s="1"/>
      <c r="B569" s="1">
        <v>930179</v>
      </c>
      <c r="C569" s="1" t="s">
        <v>1739</v>
      </c>
      <c r="D569" s="1"/>
      <c r="E569" s="2" t="s">
        <v>1740</v>
      </c>
      <c r="F569" s="2" t="s">
        <v>1741</v>
      </c>
      <c r="G569" s="2">
        <v>0</v>
      </c>
      <c r="H569" s="2">
        <v>0</v>
      </c>
      <c r="I569" s="1">
        <v>0</v>
      </c>
      <c r="J569" s="3" t="s">
        <v>447</v>
      </c>
      <c r="K569" s="2" t="str">
        <f>J569*4607.10</f>
        <v>0</v>
      </c>
      <c r="L569" s="5"/>
    </row>
    <row r="570" spans="1:12" customHeight="1" ht="105" outlineLevel="4">
      <c r="A570" s="1"/>
      <c r="B570" s="1">
        <v>930180</v>
      </c>
      <c r="C570" s="1" t="s">
        <v>1742</v>
      </c>
      <c r="D570" s="1"/>
      <c r="E570" s="2" t="s">
        <v>1743</v>
      </c>
      <c r="F570" s="2" t="s">
        <v>1744</v>
      </c>
      <c r="G570" s="2">
        <v>0</v>
      </c>
      <c r="H570" s="2">
        <v>0</v>
      </c>
      <c r="I570" s="1">
        <v>0</v>
      </c>
      <c r="J570" s="3" t="s">
        <v>447</v>
      </c>
      <c r="K570" s="2" t="str">
        <f>J570*5374.69</f>
        <v>0</v>
      </c>
      <c r="L570" s="5"/>
    </row>
    <row r="571" spans="1:12" customHeight="1" ht="105" outlineLevel="4">
      <c r="A571" s="1"/>
      <c r="B571" s="1">
        <v>930181</v>
      </c>
      <c r="C571" s="1" t="s">
        <v>1745</v>
      </c>
      <c r="D571" s="1"/>
      <c r="E571" s="2" t="s">
        <v>1746</v>
      </c>
      <c r="F571" s="2" t="s">
        <v>1747</v>
      </c>
      <c r="G571" s="2">
        <v>0</v>
      </c>
      <c r="H571" s="2">
        <v>0</v>
      </c>
      <c r="I571" s="1">
        <v>0</v>
      </c>
      <c r="J571" s="3" t="s">
        <v>447</v>
      </c>
      <c r="K571" s="2" t="str">
        <f>J571*6127.94</f>
        <v>0</v>
      </c>
      <c r="L571" s="5"/>
    </row>
    <row r="572" spans="1:12" customHeight="1" ht="105" outlineLevel="4">
      <c r="A572" s="1"/>
      <c r="B572" s="1">
        <v>930182</v>
      </c>
      <c r="C572" s="1" t="s">
        <v>1748</v>
      </c>
      <c r="D572" s="1"/>
      <c r="E572" s="2" t="s">
        <v>1749</v>
      </c>
      <c r="F572" s="2" t="s">
        <v>1750</v>
      </c>
      <c r="G572" s="2">
        <v>0</v>
      </c>
      <c r="H572" s="2">
        <v>0</v>
      </c>
      <c r="I572" s="1">
        <v>0</v>
      </c>
      <c r="J572" s="3" t="s">
        <v>447</v>
      </c>
      <c r="K572" s="2" t="str">
        <f>J572*4928.79</f>
        <v>0</v>
      </c>
      <c r="L572" s="5"/>
    </row>
    <row r="573" spans="1:12" customHeight="1" ht="105" outlineLevel="4">
      <c r="A573" s="1"/>
      <c r="B573" s="1">
        <v>930183</v>
      </c>
      <c r="C573" s="1" t="s">
        <v>1751</v>
      </c>
      <c r="D573" s="1"/>
      <c r="E573" s="2" t="s">
        <v>1752</v>
      </c>
      <c r="F573" s="2" t="s">
        <v>1753</v>
      </c>
      <c r="G573" s="2">
        <v>0</v>
      </c>
      <c r="H573" s="2">
        <v>0</v>
      </c>
      <c r="I573" s="1">
        <v>0</v>
      </c>
      <c r="J573" s="3" t="s">
        <v>447</v>
      </c>
      <c r="K573" s="2" t="str">
        <f>J573*5779.18</f>
        <v>0</v>
      </c>
      <c r="L573" s="5"/>
    </row>
    <row r="574" spans="1:12" customHeight="1" ht="105" outlineLevel="4">
      <c r="A574" s="1"/>
      <c r="B574" s="1">
        <v>930184</v>
      </c>
      <c r="C574" s="1" t="s">
        <v>1754</v>
      </c>
      <c r="D574" s="1"/>
      <c r="E574" s="2" t="s">
        <v>1755</v>
      </c>
      <c r="F574" s="2" t="s">
        <v>1756</v>
      </c>
      <c r="G574" s="2">
        <v>0</v>
      </c>
      <c r="H574" s="2">
        <v>0</v>
      </c>
      <c r="I574" s="1">
        <v>0</v>
      </c>
      <c r="J574" s="3" t="s">
        <v>447</v>
      </c>
      <c r="K574" s="2" t="str">
        <f>J574*6530.84</f>
        <v>0</v>
      </c>
      <c r="L574" s="5"/>
    </row>
    <row r="575" spans="1:12" customHeight="1" ht="105" outlineLevel="4">
      <c r="A575" s="1"/>
      <c r="B575" s="1">
        <v>930185</v>
      </c>
      <c r="C575" s="1" t="s">
        <v>1757</v>
      </c>
      <c r="D575" s="1"/>
      <c r="E575" s="2" t="s">
        <v>1758</v>
      </c>
      <c r="F575" s="2" t="s">
        <v>1759</v>
      </c>
      <c r="G575" s="2">
        <v>0</v>
      </c>
      <c r="H575" s="2">
        <v>0</v>
      </c>
      <c r="I575" s="1">
        <v>0</v>
      </c>
      <c r="J575" s="3" t="s">
        <v>447</v>
      </c>
      <c r="K575" s="2" t="str">
        <f>J575*496.86</f>
        <v>0</v>
      </c>
      <c r="L575" s="5"/>
    </row>
    <row r="576" spans="1:12" customHeight="1" ht="105" outlineLevel="4">
      <c r="A576" s="1"/>
      <c r="B576" s="1">
        <v>930186</v>
      </c>
      <c r="C576" s="1" t="s">
        <v>1760</v>
      </c>
      <c r="D576" s="1"/>
      <c r="E576" s="2" t="s">
        <v>1761</v>
      </c>
      <c r="F576" s="2" t="s">
        <v>1524</v>
      </c>
      <c r="G576" s="2">
        <v>0</v>
      </c>
      <c r="H576" s="2">
        <v>0</v>
      </c>
      <c r="I576" s="1">
        <v>0</v>
      </c>
      <c r="J576" s="3" t="s">
        <v>447</v>
      </c>
      <c r="K576" s="2" t="str">
        <f>J576*487.41</f>
        <v>0</v>
      </c>
      <c r="L576" s="5"/>
    </row>
    <row r="577" spans="1:12" customHeight="1" ht="105" outlineLevel="4">
      <c r="A577" s="1"/>
      <c r="B577" s="1">
        <v>930187</v>
      </c>
      <c r="C577" s="1" t="s">
        <v>1762</v>
      </c>
      <c r="D577" s="1"/>
      <c r="E577" s="2" t="s">
        <v>1763</v>
      </c>
      <c r="F577" s="2" t="s">
        <v>1764</v>
      </c>
      <c r="G577" s="2">
        <v>0</v>
      </c>
      <c r="H577" s="2">
        <v>0</v>
      </c>
      <c r="I577" s="1">
        <v>0</v>
      </c>
      <c r="J577" s="3" t="s">
        <v>447</v>
      </c>
      <c r="K577" s="2" t="str">
        <f>J577*647.85</f>
        <v>0</v>
      </c>
      <c r="L577" s="5"/>
    </row>
    <row r="578" spans="1:12" customHeight="1" ht="105" outlineLevel="4">
      <c r="A578" s="1"/>
      <c r="B578" s="1">
        <v>930188</v>
      </c>
      <c r="C578" s="1" t="s">
        <v>1765</v>
      </c>
      <c r="D578" s="1"/>
      <c r="E578" s="2" t="s">
        <v>1766</v>
      </c>
      <c r="F578" s="2" t="s">
        <v>1767</v>
      </c>
      <c r="G578" s="2">
        <v>0</v>
      </c>
      <c r="H578" s="2">
        <v>0</v>
      </c>
      <c r="I578" s="1">
        <v>0</v>
      </c>
      <c r="J578" s="3" t="s">
        <v>447</v>
      </c>
      <c r="K578" s="2" t="str">
        <f>J578*669.06</f>
        <v>0</v>
      </c>
      <c r="L578" s="5"/>
    </row>
    <row r="579" spans="1:12" customHeight="1" ht="105" outlineLevel="4">
      <c r="A579" s="1"/>
      <c r="B579" s="1">
        <v>930189</v>
      </c>
      <c r="C579" s="1" t="s">
        <v>1768</v>
      </c>
      <c r="D579" s="1"/>
      <c r="E579" s="2" t="s">
        <v>1769</v>
      </c>
      <c r="F579" s="2" t="s">
        <v>1770</v>
      </c>
      <c r="G579" s="2">
        <v>0</v>
      </c>
      <c r="H579" s="2">
        <v>0</v>
      </c>
      <c r="I579" s="1">
        <v>0</v>
      </c>
      <c r="J579" s="3" t="s">
        <v>447</v>
      </c>
      <c r="K579" s="2" t="str">
        <f>J579*471.38</f>
        <v>0</v>
      </c>
      <c r="L579" s="5"/>
    </row>
    <row r="580" spans="1:12" customHeight="1" ht="105" outlineLevel="4">
      <c r="A580" s="1"/>
      <c r="B580" s="1">
        <v>930190</v>
      </c>
      <c r="C580" s="1" t="s">
        <v>1771</v>
      </c>
      <c r="D580" s="1"/>
      <c r="E580" s="2" t="s">
        <v>1772</v>
      </c>
      <c r="F580" s="2" t="s">
        <v>1770</v>
      </c>
      <c r="G580" s="2">
        <v>0</v>
      </c>
      <c r="H580" s="2">
        <v>0</v>
      </c>
      <c r="I580" s="1">
        <v>0</v>
      </c>
      <c r="J580" s="3" t="s">
        <v>447</v>
      </c>
      <c r="K580" s="2" t="str">
        <f>J580*471.38</f>
        <v>0</v>
      </c>
      <c r="L580" s="5"/>
    </row>
    <row r="581" spans="1:12" customHeight="1" ht="105" outlineLevel="4">
      <c r="A581" s="1"/>
      <c r="B581" s="1">
        <v>930191</v>
      </c>
      <c r="C581" s="1" t="s">
        <v>1773</v>
      </c>
      <c r="D581" s="1"/>
      <c r="E581" s="2" t="s">
        <v>1774</v>
      </c>
      <c r="F581" s="2" t="s">
        <v>1775</v>
      </c>
      <c r="G581" s="2">
        <v>0</v>
      </c>
      <c r="H581" s="2">
        <v>0</v>
      </c>
      <c r="I581" s="1">
        <v>0</v>
      </c>
      <c r="J581" s="3" t="s">
        <v>447</v>
      </c>
      <c r="K581" s="2" t="str">
        <f>J581*875.88</f>
        <v>0</v>
      </c>
      <c r="L581" s="5"/>
    </row>
    <row r="582" spans="1:12" customHeight="1" ht="105" outlineLevel="4">
      <c r="A582" s="1"/>
      <c r="B582" s="1">
        <v>930192</v>
      </c>
      <c r="C582" s="1" t="s">
        <v>1776</v>
      </c>
      <c r="D582" s="1"/>
      <c r="E582" s="2" t="s">
        <v>1777</v>
      </c>
      <c r="F582" s="2" t="s">
        <v>1775</v>
      </c>
      <c r="G582" s="2">
        <v>0</v>
      </c>
      <c r="H582" s="2">
        <v>0</v>
      </c>
      <c r="I582" s="1">
        <v>0</v>
      </c>
      <c r="J582" s="3" t="s">
        <v>447</v>
      </c>
      <c r="K582" s="2" t="str">
        <f>J582*875.88</f>
        <v>0</v>
      </c>
      <c r="L582" s="5"/>
    </row>
    <row r="583" spans="1:12" customHeight="1" ht="105" outlineLevel="4">
      <c r="A583" s="1"/>
      <c r="B583" s="1">
        <v>930193</v>
      </c>
      <c r="C583" s="1" t="s">
        <v>1778</v>
      </c>
      <c r="D583" s="1"/>
      <c r="E583" s="2" t="s">
        <v>1779</v>
      </c>
      <c r="F583" s="2" t="s">
        <v>1780</v>
      </c>
      <c r="G583" s="2">
        <v>0</v>
      </c>
      <c r="H583" s="2">
        <v>0</v>
      </c>
      <c r="I583" s="1">
        <v>0</v>
      </c>
      <c r="J583" s="3" t="s">
        <v>447</v>
      </c>
      <c r="K583" s="2" t="str">
        <f>J583*1188.01</f>
        <v>0</v>
      </c>
      <c r="L583" s="5"/>
    </row>
    <row r="584" spans="1:12" customHeight="1" ht="105" outlineLevel="4">
      <c r="A584" s="1"/>
      <c r="B584" s="1">
        <v>930194</v>
      </c>
      <c r="C584" s="1" t="s">
        <v>1781</v>
      </c>
      <c r="D584" s="1"/>
      <c r="E584" s="2" t="s">
        <v>1782</v>
      </c>
      <c r="F584" s="2" t="s">
        <v>1783</v>
      </c>
      <c r="G584" s="2" t="s">
        <v>153</v>
      </c>
      <c r="H584" s="2">
        <v>0</v>
      </c>
      <c r="I584" s="1" t="s">
        <v>153</v>
      </c>
      <c r="J584" s="3" t="s">
        <v>447</v>
      </c>
      <c r="K584" s="2" t="str">
        <f>J584*333.06</f>
        <v>0</v>
      </c>
      <c r="L584" s="5"/>
    </row>
    <row r="585" spans="1:12" customHeight="1" ht="105" outlineLevel="4">
      <c r="A585" s="1"/>
      <c r="B585" s="1">
        <v>930195</v>
      </c>
      <c r="C585" s="1" t="s">
        <v>1784</v>
      </c>
      <c r="D585" s="1"/>
      <c r="E585" s="2" t="s">
        <v>1785</v>
      </c>
      <c r="F585" s="2" t="s">
        <v>1786</v>
      </c>
      <c r="G585" s="2">
        <v>-1</v>
      </c>
      <c r="H585" s="2">
        <v>0</v>
      </c>
      <c r="I585" s="1" t="s">
        <v>153</v>
      </c>
      <c r="J585" s="3" t="s">
        <v>447</v>
      </c>
      <c r="K585" s="2" t="str">
        <f>J585*482.79</f>
        <v>0</v>
      </c>
      <c r="L585" s="5"/>
    </row>
    <row r="586" spans="1:12" customHeight="1" ht="105" outlineLevel="4">
      <c r="A586" s="1"/>
      <c r="B586" s="1">
        <v>930196</v>
      </c>
      <c r="C586" s="1" t="s">
        <v>1787</v>
      </c>
      <c r="D586" s="1"/>
      <c r="E586" s="2" t="s">
        <v>1788</v>
      </c>
      <c r="F586" s="2" t="s">
        <v>1789</v>
      </c>
      <c r="G586" s="2" t="s">
        <v>153</v>
      </c>
      <c r="H586" s="2">
        <v>0</v>
      </c>
      <c r="I586" s="1">
        <v>0</v>
      </c>
      <c r="J586" s="3" t="s">
        <v>447</v>
      </c>
      <c r="K586" s="2" t="str">
        <f>J586*624.12</f>
        <v>0</v>
      </c>
      <c r="L586" s="5"/>
    </row>
    <row r="587" spans="1:12" customHeight="1" ht="105" outlineLevel="4">
      <c r="A587" s="1"/>
      <c r="B587" s="1">
        <v>930197</v>
      </c>
      <c r="C587" s="1" t="s">
        <v>1790</v>
      </c>
      <c r="D587" s="1"/>
      <c r="E587" s="2" t="s">
        <v>1791</v>
      </c>
      <c r="F587" s="2" t="s">
        <v>1792</v>
      </c>
      <c r="G587" s="2" t="s">
        <v>153</v>
      </c>
      <c r="H587" s="2">
        <v>0</v>
      </c>
      <c r="I587" s="1">
        <v>0</v>
      </c>
      <c r="J587" s="3" t="s">
        <v>447</v>
      </c>
      <c r="K587" s="2" t="str">
        <f>J587*530.46</f>
        <v>0</v>
      </c>
      <c r="L587" s="5"/>
    </row>
    <row r="588" spans="1:12" customHeight="1" ht="105" outlineLevel="4">
      <c r="A588" s="1"/>
      <c r="B588" s="1">
        <v>930198</v>
      </c>
      <c r="C588" s="1" t="s">
        <v>1793</v>
      </c>
      <c r="D588" s="1"/>
      <c r="E588" s="2" t="s">
        <v>1794</v>
      </c>
      <c r="F588" s="2" t="s">
        <v>1795</v>
      </c>
      <c r="G588" s="2" t="s">
        <v>153</v>
      </c>
      <c r="H588" s="2">
        <v>0</v>
      </c>
      <c r="I588" s="1">
        <v>0</v>
      </c>
      <c r="J588" s="3" t="s">
        <v>447</v>
      </c>
      <c r="K588" s="2" t="str">
        <f>J588*679.35</f>
        <v>0</v>
      </c>
      <c r="L588" s="5"/>
    </row>
    <row r="589" spans="1:12" customHeight="1" ht="105" outlineLevel="4">
      <c r="A589" s="1"/>
      <c r="B589" s="1">
        <v>930199</v>
      </c>
      <c r="C589" s="1" t="s">
        <v>1796</v>
      </c>
      <c r="D589" s="1"/>
      <c r="E589" s="2" t="s">
        <v>1797</v>
      </c>
      <c r="F589" s="2" t="s">
        <v>1798</v>
      </c>
      <c r="G589" s="2" t="s">
        <v>153</v>
      </c>
      <c r="H589" s="2">
        <v>0</v>
      </c>
      <c r="I589" s="1">
        <v>0</v>
      </c>
      <c r="J589" s="3" t="s">
        <v>447</v>
      </c>
      <c r="K589" s="2" t="str">
        <f>J589*835.59</f>
        <v>0</v>
      </c>
      <c r="L589" s="5"/>
    </row>
    <row r="590" spans="1:12" customHeight="1" ht="105" outlineLevel="4">
      <c r="A590" s="1"/>
      <c r="B590" s="1">
        <v>930200</v>
      </c>
      <c r="C590" s="1" t="s">
        <v>1799</v>
      </c>
      <c r="D590" s="1"/>
      <c r="E590" s="2" t="s">
        <v>1800</v>
      </c>
      <c r="F590" s="2" t="s">
        <v>1801</v>
      </c>
      <c r="G590" s="2">
        <v>0</v>
      </c>
      <c r="H590" s="2">
        <v>0</v>
      </c>
      <c r="I590" s="1">
        <v>0</v>
      </c>
      <c r="J590" s="3" t="s">
        <v>447</v>
      </c>
      <c r="K590" s="2" t="str">
        <f>J590*447.49</f>
        <v>0</v>
      </c>
      <c r="L590" s="5"/>
    </row>
    <row r="591" spans="1:12" customHeight="1" ht="105" outlineLevel="4">
      <c r="A591" s="1"/>
      <c r="B591" s="1">
        <v>930201</v>
      </c>
      <c r="C591" s="1" t="s">
        <v>1802</v>
      </c>
      <c r="D591" s="1"/>
      <c r="E591" s="2" t="s">
        <v>1803</v>
      </c>
      <c r="F591" s="2" t="s">
        <v>1804</v>
      </c>
      <c r="G591" s="2">
        <v>0</v>
      </c>
      <c r="H591" s="2">
        <v>0</v>
      </c>
      <c r="I591" s="1">
        <v>0</v>
      </c>
      <c r="J591" s="3" t="s">
        <v>447</v>
      </c>
      <c r="K591" s="2" t="str">
        <f>J591*700.70</f>
        <v>0</v>
      </c>
      <c r="L591" s="5"/>
    </row>
    <row r="592" spans="1:12" customHeight="1" ht="105" outlineLevel="4">
      <c r="A592" s="1"/>
      <c r="B592" s="1">
        <v>930202</v>
      </c>
      <c r="C592" s="1" t="s">
        <v>1805</v>
      </c>
      <c r="D592" s="1"/>
      <c r="E592" s="2" t="s">
        <v>1806</v>
      </c>
      <c r="F592" s="2" t="s">
        <v>1807</v>
      </c>
      <c r="G592" s="2">
        <v>0</v>
      </c>
      <c r="H592" s="2">
        <v>0</v>
      </c>
      <c r="I592" s="1">
        <v>0</v>
      </c>
      <c r="J592" s="3" t="s">
        <v>447</v>
      </c>
      <c r="K592" s="2" t="str">
        <f>J592*1122.71</f>
        <v>0</v>
      </c>
      <c r="L592" s="5"/>
    </row>
    <row r="593" spans="1:12" customHeight="1" ht="105" outlineLevel="4">
      <c r="A593" s="1"/>
      <c r="B593" s="1">
        <v>930203</v>
      </c>
      <c r="C593" s="1" t="s">
        <v>1808</v>
      </c>
      <c r="D593" s="1"/>
      <c r="E593" s="2" t="s">
        <v>1809</v>
      </c>
      <c r="F593" s="2" t="s">
        <v>1810</v>
      </c>
      <c r="G593" s="2">
        <v>0</v>
      </c>
      <c r="H593" s="2">
        <v>0</v>
      </c>
      <c r="I593" s="1">
        <v>0</v>
      </c>
      <c r="J593" s="3" t="s">
        <v>447</v>
      </c>
      <c r="K593" s="2" t="str">
        <f>J593*1129.08</f>
        <v>0</v>
      </c>
      <c r="L593" s="5"/>
    </row>
    <row r="594" spans="1:12" customHeight="1" ht="105" outlineLevel="4">
      <c r="A594" s="1"/>
      <c r="B594" s="1">
        <v>930204</v>
      </c>
      <c r="C594" s="1" t="s">
        <v>1811</v>
      </c>
      <c r="D594" s="1"/>
      <c r="E594" s="2" t="s">
        <v>1812</v>
      </c>
      <c r="F594" s="2" t="s">
        <v>1813</v>
      </c>
      <c r="G594" s="2" t="s">
        <v>152</v>
      </c>
      <c r="H594" s="2">
        <v>0</v>
      </c>
      <c r="I594" s="1">
        <v>0</v>
      </c>
      <c r="J594" s="3" t="s">
        <v>447</v>
      </c>
      <c r="K594" s="2" t="str">
        <f>J594*11.76</f>
        <v>0</v>
      </c>
      <c r="L594" s="5"/>
    </row>
    <row r="595" spans="1:12" customHeight="1" ht="105" outlineLevel="4">
      <c r="A595" s="1"/>
      <c r="B595" s="1">
        <v>930205</v>
      </c>
      <c r="C595" s="1" t="s">
        <v>1814</v>
      </c>
      <c r="D595" s="1"/>
      <c r="E595" s="2" t="s">
        <v>1815</v>
      </c>
      <c r="F595" s="2" t="s">
        <v>1816</v>
      </c>
      <c r="G595" s="2" t="s">
        <v>152</v>
      </c>
      <c r="H595" s="2">
        <v>0</v>
      </c>
      <c r="I595" s="1">
        <v>0</v>
      </c>
      <c r="J595" s="3" t="s">
        <v>447</v>
      </c>
      <c r="K595" s="2" t="str">
        <f>J595*18.06</f>
        <v>0</v>
      </c>
      <c r="L595" s="5"/>
    </row>
    <row r="596" spans="1:12" customHeight="1" ht="105" outlineLevel="4">
      <c r="A596" s="1"/>
      <c r="B596" s="1">
        <v>930206</v>
      </c>
      <c r="C596" s="1" t="s">
        <v>1817</v>
      </c>
      <c r="D596" s="1"/>
      <c r="E596" s="2" t="s">
        <v>1818</v>
      </c>
      <c r="F596" s="2" t="s">
        <v>1819</v>
      </c>
      <c r="G596" s="2">
        <v>0</v>
      </c>
      <c r="H596" s="2">
        <v>0</v>
      </c>
      <c r="I596" s="1">
        <v>0</v>
      </c>
      <c r="J596" s="3" t="s">
        <v>447</v>
      </c>
      <c r="K596" s="2" t="str">
        <f>J596*39.81</f>
        <v>0</v>
      </c>
      <c r="L596" s="5"/>
    </row>
    <row r="597" spans="1:12" customHeight="1" ht="105" outlineLevel="4">
      <c r="A597" s="1"/>
      <c r="B597" s="1">
        <v>930207</v>
      </c>
      <c r="C597" s="1" t="s">
        <v>1820</v>
      </c>
      <c r="D597" s="1"/>
      <c r="E597" s="2" t="s">
        <v>1821</v>
      </c>
      <c r="F597" s="2" t="s">
        <v>1822</v>
      </c>
      <c r="G597" s="2" t="s">
        <v>74</v>
      </c>
      <c r="H597" s="2">
        <v>0</v>
      </c>
      <c r="I597" s="1">
        <v>0</v>
      </c>
      <c r="J597" s="3" t="s">
        <v>447</v>
      </c>
      <c r="K597" s="2" t="str">
        <f>J597*132.09</f>
        <v>0</v>
      </c>
      <c r="L597" s="5"/>
    </row>
    <row r="598" spans="1:12" customHeight="1" ht="105" outlineLevel="4">
      <c r="A598" s="1"/>
      <c r="B598" s="1">
        <v>930208</v>
      </c>
      <c r="C598" s="1" t="s">
        <v>1823</v>
      </c>
      <c r="D598" s="1"/>
      <c r="E598" s="2" t="s">
        <v>1824</v>
      </c>
      <c r="F598" s="2" t="s">
        <v>1825</v>
      </c>
      <c r="G598" s="2" t="s">
        <v>152</v>
      </c>
      <c r="H598" s="2">
        <v>0</v>
      </c>
      <c r="I598" s="1">
        <v>0</v>
      </c>
      <c r="J598" s="3" t="s">
        <v>447</v>
      </c>
      <c r="K598" s="2" t="str">
        <f>J598*145.95</f>
        <v>0</v>
      </c>
      <c r="L598" s="5"/>
    </row>
    <row r="599" spans="1:12" customHeight="1" ht="105" outlineLevel="4">
      <c r="A599" s="1"/>
      <c r="B599" s="1">
        <v>930209</v>
      </c>
      <c r="C599" s="1" t="s">
        <v>1826</v>
      </c>
      <c r="D599" s="1"/>
      <c r="E599" s="2" t="s">
        <v>1827</v>
      </c>
      <c r="F599" s="2" t="s">
        <v>1828</v>
      </c>
      <c r="G599" s="2" t="s">
        <v>152</v>
      </c>
      <c r="H599" s="2">
        <v>0</v>
      </c>
      <c r="I599" s="1">
        <v>0</v>
      </c>
      <c r="J599" s="3" t="s">
        <v>447</v>
      </c>
      <c r="K599" s="2" t="str">
        <f>J599*211.80</f>
        <v>0</v>
      </c>
      <c r="L599" s="5"/>
    </row>
    <row r="600" spans="1:12" customHeight="1" ht="105" outlineLevel="4">
      <c r="A600" s="1"/>
      <c r="B600" s="1">
        <v>930210</v>
      </c>
      <c r="C600" s="1" t="s">
        <v>1829</v>
      </c>
      <c r="D600" s="1"/>
      <c r="E600" s="2" t="s">
        <v>1830</v>
      </c>
      <c r="F600" s="2" t="s">
        <v>1831</v>
      </c>
      <c r="G600" s="2" t="s">
        <v>152</v>
      </c>
      <c r="H600" s="2">
        <v>0</v>
      </c>
      <c r="I600" s="1">
        <v>0</v>
      </c>
      <c r="J600" s="3" t="s">
        <v>447</v>
      </c>
      <c r="K600" s="2" t="str">
        <f>J600*175.98</f>
        <v>0</v>
      </c>
      <c r="L600" s="5"/>
    </row>
    <row r="601" spans="1:12" customHeight="1" ht="105" outlineLevel="4">
      <c r="A601" s="1"/>
      <c r="B601" s="1">
        <v>930211</v>
      </c>
      <c r="C601" s="1" t="s">
        <v>1832</v>
      </c>
      <c r="D601" s="1"/>
      <c r="E601" s="2" t="s">
        <v>1833</v>
      </c>
      <c r="F601" s="2" t="s">
        <v>1834</v>
      </c>
      <c r="G601" s="2">
        <v>0</v>
      </c>
      <c r="H601" s="2">
        <v>0</v>
      </c>
      <c r="I601" s="1">
        <v>0</v>
      </c>
      <c r="J601" s="3" t="s">
        <v>447</v>
      </c>
      <c r="K601" s="2" t="str">
        <f>J601*124.22</f>
        <v>0</v>
      </c>
      <c r="L601" s="5"/>
    </row>
    <row r="602" spans="1:12" customHeight="1" ht="105" outlineLevel="4">
      <c r="A602" s="1"/>
      <c r="B602" s="1">
        <v>930212</v>
      </c>
      <c r="C602" s="1" t="s">
        <v>1835</v>
      </c>
      <c r="D602" s="1"/>
      <c r="E602" s="2" t="s">
        <v>1836</v>
      </c>
      <c r="F602" s="2" t="s">
        <v>1837</v>
      </c>
      <c r="G602" s="2">
        <v>0</v>
      </c>
      <c r="H602" s="2">
        <v>0</v>
      </c>
      <c r="I602" s="1">
        <v>0</v>
      </c>
      <c r="J602" s="3" t="s">
        <v>447</v>
      </c>
      <c r="K602" s="2" t="str">
        <f>J602*181.65</f>
        <v>0</v>
      </c>
      <c r="L602" s="5"/>
    </row>
    <row r="603" spans="1:12" customHeight="1" ht="105" outlineLevel="4">
      <c r="A603" s="1"/>
      <c r="B603" s="1">
        <v>930384</v>
      </c>
      <c r="C603" s="1" t="s">
        <v>1838</v>
      </c>
      <c r="D603" s="1"/>
      <c r="E603" s="2" t="s">
        <v>1839</v>
      </c>
      <c r="F603" s="2" t="s">
        <v>1840</v>
      </c>
      <c r="G603" s="2" t="s">
        <v>74</v>
      </c>
      <c r="H603" s="2">
        <v>0</v>
      </c>
      <c r="I603" s="1">
        <v>0</v>
      </c>
      <c r="J603" s="3" t="s">
        <v>447</v>
      </c>
      <c r="K603" s="2" t="str">
        <f>J603*28.69</f>
        <v>0</v>
      </c>
      <c r="L603" s="5"/>
    </row>
    <row r="604" spans="1:12" customHeight="1" ht="105" outlineLevel="4">
      <c r="A604" s="1"/>
      <c r="B604" s="1">
        <v>930385</v>
      </c>
      <c r="C604" s="1" t="s">
        <v>1841</v>
      </c>
      <c r="D604" s="1"/>
      <c r="E604" s="2" t="s">
        <v>1842</v>
      </c>
      <c r="F604" s="2" t="s">
        <v>1840</v>
      </c>
      <c r="G604" s="2">
        <v>5</v>
      </c>
      <c r="H604" s="2">
        <v>0</v>
      </c>
      <c r="I604" s="1">
        <v>0</v>
      </c>
      <c r="J604" s="3" t="s">
        <v>447</v>
      </c>
      <c r="K604" s="2" t="str">
        <f>J604*28.69</f>
        <v>0</v>
      </c>
      <c r="L604" s="5"/>
    </row>
    <row r="605" spans="1:12" outlineLevel="2">
      <c r="A605" s="8" t="s">
        <v>1843</v>
      </c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5"/>
    </row>
    <row r="606" spans="1:12" customHeight="1" ht="105" outlineLevel="4">
      <c r="A606" s="1"/>
      <c r="B606" s="1">
        <v>930320</v>
      </c>
      <c r="C606" s="1" t="s">
        <v>1844</v>
      </c>
      <c r="D606" s="1"/>
      <c r="E606" s="2" t="s">
        <v>1845</v>
      </c>
      <c r="F606" s="2" t="s">
        <v>1846</v>
      </c>
      <c r="G606" s="2">
        <v>0</v>
      </c>
      <c r="H606" s="2">
        <v>0</v>
      </c>
      <c r="I606" s="1">
        <v>0</v>
      </c>
      <c r="J606" s="3" t="s">
        <v>447</v>
      </c>
      <c r="K606" s="2" t="str">
        <f>J606*138.51</f>
        <v>0</v>
      </c>
      <c r="L606" s="5"/>
    </row>
    <row r="607" spans="1:12" customHeight="1" ht="105" outlineLevel="4">
      <c r="A607" s="1"/>
      <c r="B607" s="1">
        <v>930321</v>
      </c>
      <c r="C607" s="1" t="s">
        <v>1847</v>
      </c>
      <c r="D607" s="1"/>
      <c r="E607" s="2" t="s">
        <v>1848</v>
      </c>
      <c r="F607" s="2" t="s">
        <v>1849</v>
      </c>
      <c r="G607" s="2" t="s">
        <v>58</v>
      </c>
      <c r="H607" s="2">
        <v>0</v>
      </c>
      <c r="I607" s="1">
        <v>0</v>
      </c>
      <c r="J607" s="3" t="s">
        <v>447</v>
      </c>
      <c r="K607" s="2" t="str">
        <f>J607*165.87</f>
        <v>0</v>
      </c>
      <c r="L607" s="5"/>
    </row>
    <row r="608" spans="1:12" customHeight="1" ht="105" outlineLevel="4">
      <c r="A608" s="1"/>
      <c r="B608" s="1">
        <v>930322</v>
      </c>
      <c r="C608" s="1" t="s">
        <v>1850</v>
      </c>
      <c r="D608" s="1"/>
      <c r="E608" s="2" t="s">
        <v>1851</v>
      </c>
      <c r="F608" s="2" t="s">
        <v>1852</v>
      </c>
      <c r="G608" s="2" t="s">
        <v>74</v>
      </c>
      <c r="H608" s="2">
        <v>0</v>
      </c>
      <c r="I608" s="1">
        <v>0</v>
      </c>
      <c r="J608" s="3" t="s">
        <v>447</v>
      </c>
      <c r="K608" s="2" t="str">
        <f>J608*271.89</f>
        <v>0</v>
      </c>
      <c r="L608" s="5"/>
    </row>
    <row r="609" spans="1:12" customHeight="1" ht="105" outlineLevel="4">
      <c r="A609" s="1"/>
      <c r="B609" s="1">
        <v>930323</v>
      </c>
      <c r="C609" s="1" t="s">
        <v>1853</v>
      </c>
      <c r="D609" s="1"/>
      <c r="E609" s="2" t="s">
        <v>1854</v>
      </c>
      <c r="F609" s="2" t="s">
        <v>1855</v>
      </c>
      <c r="G609" s="2">
        <v>0</v>
      </c>
      <c r="H609" s="2">
        <v>0</v>
      </c>
      <c r="I609" s="1">
        <v>0</v>
      </c>
      <c r="J609" s="3" t="s">
        <v>447</v>
      </c>
      <c r="K609" s="2" t="str">
        <f>J609*201.78</f>
        <v>0</v>
      </c>
      <c r="L609" s="5"/>
    </row>
    <row r="610" spans="1:12" customHeight="1" ht="105" outlineLevel="4">
      <c r="A610" s="1"/>
      <c r="B610" s="1">
        <v>930324</v>
      </c>
      <c r="C610" s="1" t="s">
        <v>1856</v>
      </c>
      <c r="D610" s="1"/>
      <c r="E610" s="2" t="s">
        <v>1857</v>
      </c>
      <c r="F610" s="2" t="s">
        <v>1858</v>
      </c>
      <c r="G610" s="2">
        <v>0</v>
      </c>
      <c r="H610" s="2">
        <v>0</v>
      </c>
      <c r="I610" s="1">
        <v>0</v>
      </c>
      <c r="J610" s="3" t="s">
        <v>447</v>
      </c>
      <c r="K610" s="2" t="str">
        <f>J610*273.60</f>
        <v>0</v>
      </c>
      <c r="L610" s="5"/>
    </row>
    <row r="611" spans="1:12" customHeight="1" ht="105" outlineLevel="4">
      <c r="A611" s="1"/>
      <c r="B611" s="1">
        <v>930325</v>
      </c>
      <c r="C611" s="1" t="s">
        <v>1859</v>
      </c>
      <c r="D611" s="1"/>
      <c r="E611" s="2" t="s">
        <v>1860</v>
      </c>
      <c r="F611" s="2" t="s">
        <v>1861</v>
      </c>
      <c r="G611" s="2">
        <v>0</v>
      </c>
      <c r="H611" s="2">
        <v>0</v>
      </c>
      <c r="I611" s="1">
        <v>0</v>
      </c>
      <c r="J611" s="3" t="s">
        <v>447</v>
      </c>
      <c r="K611" s="2" t="str">
        <f>J611*244.53</f>
        <v>0</v>
      </c>
      <c r="L611" s="5"/>
    </row>
    <row r="612" spans="1:12" customHeight="1" ht="105" outlineLevel="4">
      <c r="A612" s="1"/>
      <c r="B612" s="1">
        <v>930326</v>
      </c>
      <c r="C612" s="1" t="s">
        <v>1862</v>
      </c>
      <c r="D612" s="1"/>
      <c r="E612" s="2" t="s">
        <v>1863</v>
      </c>
      <c r="F612" s="2" t="s">
        <v>1852</v>
      </c>
      <c r="G612" s="2">
        <v>0</v>
      </c>
      <c r="H612" s="2">
        <v>0</v>
      </c>
      <c r="I612" s="1">
        <v>0</v>
      </c>
      <c r="J612" s="3" t="s">
        <v>447</v>
      </c>
      <c r="K612" s="2" t="str">
        <f>J612*271.89</f>
        <v>0</v>
      </c>
      <c r="L612" s="5"/>
    </row>
    <row r="613" spans="1:12" customHeight="1" ht="105" outlineLevel="4">
      <c r="A613" s="1"/>
      <c r="B613" s="1">
        <v>930327</v>
      </c>
      <c r="C613" s="1" t="s">
        <v>1864</v>
      </c>
      <c r="D613" s="1"/>
      <c r="E613" s="2" t="s">
        <v>1865</v>
      </c>
      <c r="F613" s="2" t="s">
        <v>1866</v>
      </c>
      <c r="G613" s="2">
        <v>0</v>
      </c>
      <c r="H613" s="2">
        <v>0</v>
      </c>
      <c r="I613" s="1">
        <v>0</v>
      </c>
      <c r="J613" s="3" t="s">
        <v>447</v>
      </c>
      <c r="K613" s="2" t="str">
        <f>J613*256.50</f>
        <v>0</v>
      </c>
      <c r="L613" s="5"/>
    </row>
    <row r="614" spans="1:12" customHeight="1" ht="105" outlineLevel="4">
      <c r="A614" s="1"/>
      <c r="B614" s="1">
        <v>930328</v>
      </c>
      <c r="C614" s="1" t="s">
        <v>1867</v>
      </c>
      <c r="D614" s="1"/>
      <c r="E614" s="2" t="s">
        <v>1868</v>
      </c>
      <c r="F614" s="2" t="s">
        <v>1869</v>
      </c>
      <c r="G614" s="2">
        <v>0</v>
      </c>
      <c r="H614" s="2">
        <v>0</v>
      </c>
      <c r="I614" s="1">
        <v>0</v>
      </c>
      <c r="J614" s="3" t="s">
        <v>447</v>
      </c>
      <c r="K614" s="2" t="str">
        <f>J614*468.54</f>
        <v>0</v>
      </c>
      <c r="L614" s="5"/>
    </row>
    <row r="615" spans="1:12" customHeight="1" ht="105" outlineLevel="4">
      <c r="A615" s="1"/>
      <c r="B615" s="1">
        <v>930329</v>
      </c>
      <c r="C615" s="1" t="s">
        <v>1870</v>
      </c>
      <c r="D615" s="1"/>
      <c r="E615" s="2" t="s">
        <v>1871</v>
      </c>
      <c r="F615" s="2" t="s">
        <v>1872</v>
      </c>
      <c r="G615" s="2">
        <v>0</v>
      </c>
      <c r="H615" s="2">
        <v>0</v>
      </c>
      <c r="I615" s="1">
        <v>0</v>
      </c>
      <c r="J615" s="3" t="s">
        <v>447</v>
      </c>
      <c r="K615" s="2" t="str">
        <f>J615*550.62</f>
        <v>0</v>
      </c>
      <c r="L615" s="5"/>
    </row>
    <row r="616" spans="1:12" customHeight="1" ht="105" outlineLevel="4">
      <c r="A616" s="1"/>
      <c r="B616" s="1">
        <v>930330</v>
      </c>
      <c r="C616" s="1" t="s">
        <v>1873</v>
      </c>
      <c r="D616" s="1"/>
      <c r="E616" s="2" t="s">
        <v>1874</v>
      </c>
      <c r="F616" s="2" t="s">
        <v>1875</v>
      </c>
      <c r="G616" s="2">
        <v>0</v>
      </c>
      <c r="H616" s="2">
        <v>0</v>
      </c>
      <c r="I616" s="1">
        <v>0</v>
      </c>
      <c r="J616" s="3" t="s">
        <v>447</v>
      </c>
      <c r="K616" s="2" t="str">
        <f>J616*682.29</f>
        <v>0</v>
      </c>
      <c r="L616" s="5"/>
    </row>
    <row r="617" spans="1:12" customHeight="1" ht="105" outlineLevel="4">
      <c r="A617" s="1"/>
      <c r="B617" s="1">
        <v>930331</v>
      </c>
      <c r="C617" s="1" t="s">
        <v>1876</v>
      </c>
      <c r="D617" s="1"/>
      <c r="E617" s="2" t="s">
        <v>1877</v>
      </c>
      <c r="F617" s="2" t="s">
        <v>1878</v>
      </c>
      <c r="G617" s="2">
        <v>0</v>
      </c>
      <c r="H617" s="2">
        <v>0</v>
      </c>
      <c r="I617" s="1">
        <v>0</v>
      </c>
      <c r="J617" s="3" t="s">
        <v>447</v>
      </c>
      <c r="K617" s="2" t="str">
        <f>J617*798.57</f>
        <v>0</v>
      </c>
      <c r="L617" s="5"/>
    </row>
    <row r="618" spans="1:12" customHeight="1" ht="105" outlineLevel="4">
      <c r="A618" s="1"/>
      <c r="B618" s="1">
        <v>930332</v>
      </c>
      <c r="C618" s="1" t="s">
        <v>1879</v>
      </c>
      <c r="D618" s="1"/>
      <c r="E618" s="2" t="s">
        <v>1880</v>
      </c>
      <c r="F618" s="2" t="s">
        <v>1881</v>
      </c>
      <c r="G618" s="2">
        <v>0</v>
      </c>
      <c r="H618" s="2">
        <v>0</v>
      </c>
      <c r="I618" s="1">
        <v>0</v>
      </c>
      <c r="J618" s="3" t="s">
        <v>447</v>
      </c>
      <c r="K618" s="2" t="str">
        <f>J618*1260.27</f>
        <v>0</v>
      </c>
      <c r="L618" s="5"/>
    </row>
    <row r="619" spans="1:12" customHeight="1" ht="105" outlineLevel="4">
      <c r="A619" s="1"/>
      <c r="B619" s="1">
        <v>930333</v>
      </c>
      <c r="C619" s="1" t="s">
        <v>1882</v>
      </c>
      <c r="D619" s="1"/>
      <c r="E619" s="2" t="s">
        <v>1883</v>
      </c>
      <c r="F619" s="2" t="s">
        <v>1884</v>
      </c>
      <c r="G619" s="2">
        <v>0</v>
      </c>
      <c r="H619" s="2">
        <v>0</v>
      </c>
      <c r="I619" s="1">
        <v>0</v>
      </c>
      <c r="J619" s="3" t="s">
        <v>447</v>
      </c>
      <c r="K619" s="2" t="str">
        <f>J619*1342.35</f>
        <v>0</v>
      </c>
      <c r="L619" s="5"/>
    </row>
    <row r="620" spans="1:12" customHeight="1" ht="105" outlineLevel="4">
      <c r="A620" s="1"/>
      <c r="B620" s="1">
        <v>930334</v>
      </c>
      <c r="C620" s="1" t="s">
        <v>1885</v>
      </c>
      <c r="D620" s="1"/>
      <c r="E620" s="2" t="s">
        <v>1886</v>
      </c>
      <c r="F620" s="2" t="s">
        <v>1846</v>
      </c>
      <c r="G620" s="2">
        <v>0</v>
      </c>
      <c r="H620" s="2">
        <v>0</v>
      </c>
      <c r="I620" s="1">
        <v>0</v>
      </c>
      <c r="J620" s="3" t="s">
        <v>447</v>
      </c>
      <c r="K620" s="2" t="str">
        <f>J620*138.51</f>
        <v>0</v>
      </c>
      <c r="L620" s="5"/>
    </row>
    <row r="621" spans="1:12" customHeight="1" ht="105" outlineLevel="4">
      <c r="A621" s="1"/>
      <c r="B621" s="1">
        <v>930335</v>
      </c>
      <c r="C621" s="1" t="s">
        <v>1887</v>
      </c>
      <c r="D621" s="1"/>
      <c r="E621" s="2" t="s">
        <v>1888</v>
      </c>
      <c r="F621" s="2" t="s">
        <v>1889</v>
      </c>
      <c r="G621" s="2">
        <v>0</v>
      </c>
      <c r="H621" s="2">
        <v>0</v>
      </c>
      <c r="I621" s="1">
        <v>0</v>
      </c>
      <c r="J621" s="3" t="s">
        <v>447</v>
      </c>
      <c r="K621" s="2" t="str">
        <f>J621*148.77</f>
        <v>0</v>
      </c>
      <c r="L621" s="5"/>
    </row>
    <row r="622" spans="1:12" customHeight="1" ht="105" outlineLevel="4">
      <c r="A622" s="1"/>
      <c r="B622" s="1">
        <v>930336</v>
      </c>
      <c r="C622" s="1" t="s">
        <v>1890</v>
      </c>
      <c r="D622" s="1"/>
      <c r="E622" s="2" t="s">
        <v>1891</v>
      </c>
      <c r="F622" s="2" t="s">
        <v>1892</v>
      </c>
      <c r="G622" s="2">
        <v>0</v>
      </c>
      <c r="H622" s="2">
        <v>0</v>
      </c>
      <c r="I622" s="1">
        <v>0</v>
      </c>
      <c r="J622" s="3" t="s">
        <v>447</v>
      </c>
      <c r="K622" s="2" t="str">
        <f>J622*275.31</f>
        <v>0</v>
      </c>
      <c r="L622" s="5"/>
    </row>
    <row r="623" spans="1:12" customHeight="1" ht="105" outlineLevel="4">
      <c r="A623" s="1"/>
      <c r="B623" s="1">
        <v>930337</v>
      </c>
      <c r="C623" s="1" t="s">
        <v>1893</v>
      </c>
      <c r="D623" s="1"/>
      <c r="E623" s="2" t="s">
        <v>1894</v>
      </c>
      <c r="F623" s="2" t="s">
        <v>1895</v>
      </c>
      <c r="G623" s="2">
        <v>0</v>
      </c>
      <c r="H623" s="2">
        <v>0</v>
      </c>
      <c r="I623" s="1">
        <v>0</v>
      </c>
      <c r="J623" s="3" t="s">
        <v>447</v>
      </c>
      <c r="K623" s="2" t="str">
        <f>J623*174.42</f>
        <v>0</v>
      </c>
      <c r="L623" s="5"/>
    </row>
    <row r="624" spans="1:12" customHeight="1" ht="105" outlineLevel="4">
      <c r="A624" s="1"/>
      <c r="B624" s="1">
        <v>930338</v>
      </c>
      <c r="C624" s="1" t="s">
        <v>1896</v>
      </c>
      <c r="D624" s="1"/>
      <c r="E624" s="2" t="s">
        <v>1897</v>
      </c>
      <c r="F624" s="2" t="s">
        <v>1898</v>
      </c>
      <c r="G624" s="2">
        <v>0</v>
      </c>
      <c r="H624" s="2">
        <v>0</v>
      </c>
      <c r="I624" s="1">
        <v>0</v>
      </c>
      <c r="J624" s="3" t="s">
        <v>447</v>
      </c>
      <c r="K624" s="2" t="str">
        <f>J624*225.72</f>
        <v>0</v>
      </c>
      <c r="L624" s="5"/>
    </row>
    <row r="625" spans="1:12" customHeight="1" ht="105" outlineLevel="4">
      <c r="A625" s="1"/>
      <c r="B625" s="1">
        <v>930339</v>
      </c>
      <c r="C625" s="1" t="s">
        <v>1899</v>
      </c>
      <c r="D625" s="1"/>
      <c r="E625" s="2" t="s">
        <v>1900</v>
      </c>
      <c r="F625" s="2" t="s">
        <v>1901</v>
      </c>
      <c r="G625" s="2">
        <v>0</v>
      </c>
      <c r="H625" s="2">
        <v>0</v>
      </c>
      <c r="I625" s="1">
        <v>0</v>
      </c>
      <c r="J625" s="3" t="s">
        <v>447</v>
      </c>
      <c r="K625" s="2" t="str">
        <f>J625*227.43</f>
        <v>0</v>
      </c>
      <c r="L625" s="5"/>
    </row>
    <row r="626" spans="1:12" customHeight="1" ht="105" outlineLevel="4">
      <c r="A626" s="1"/>
      <c r="B626" s="1">
        <v>930340</v>
      </c>
      <c r="C626" s="1" t="s">
        <v>1902</v>
      </c>
      <c r="D626" s="1"/>
      <c r="E626" s="2" t="s">
        <v>1903</v>
      </c>
      <c r="F626" s="2" t="s">
        <v>1904</v>
      </c>
      <c r="G626" s="2">
        <v>0</v>
      </c>
      <c r="H626" s="2">
        <v>0</v>
      </c>
      <c r="I626" s="1">
        <v>0</v>
      </c>
      <c r="J626" s="3" t="s">
        <v>447</v>
      </c>
      <c r="K626" s="2" t="str">
        <f>J626*254.79</f>
        <v>0</v>
      </c>
      <c r="L626" s="5"/>
    </row>
    <row r="627" spans="1:12" customHeight="1" ht="105" outlineLevel="4">
      <c r="A627" s="1"/>
      <c r="B627" s="1">
        <v>930341</v>
      </c>
      <c r="C627" s="1" t="s">
        <v>1905</v>
      </c>
      <c r="D627" s="1"/>
      <c r="E627" s="2" t="s">
        <v>1906</v>
      </c>
      <c r="F627" s="2" t="s">
        <v>1907</v>
      </c>
      <c r="G627" s="2">
        <v>0</v>
      </c>
      <c r="H627" s="2">
        <v>0</v>
      </c>
      <c r="I627" s="1">
        <v>0</v>
      </c>
      <c r="J627" s="3" t="s">
        <v>447</v>
      </c>
      <c r="K627" s="2" t="str">
        <f>J627*265.05</f>
        <v>0</v>
      </c>
      <c r="L627" s="5"/>
    </row>
    <row r="628" spans="1:12" customHeight="1" ht="105" outlineLevel="4">
      <c r="A628" s="1"/>
      <c r="B628" s="1">
        <v>930342</v>
      </c>
      <c r="C628" s="1" t="s">
        <v>1908</v>
      </c>
      <c r="D628" s="1"/>
      <c r="E628" s="2" t="s">
        <v>1909</v>
      </c>
      <c r="F628" s="2" t="s">
        <v>1910</v>
      </c>
      <c r="G628" s="2">
        <v>0</v>
      </c>
      <c r="H628" s="2">
        <v>0</v>
      </c>
      <c r="I628" s="1">
        <v>0</v>
      </c>
      <c r="J628" s="3" t="s">
        <v>447</v>
      </c>
      <c r="K628" s="2" t="str">
        <f>J628*425.79</f>
        <v>0</v>
      </c>
      <c r="L628" s="5"/>
    </row>
    <row r="629" spans="1:12" customHeight="1" ht="105" outlineLevel="4">
      <c r="A629" s="1"/>
      <c r="B629" s="1">
        <v>930343</v>
      </c>
      <c r="C629" s="1" t="s">
        <v>1911</v>
      </c>
      <c r="D629" s="1"/>
      <c r="E629" s="2" t="s">
        <v>1912</v>
      </c>
      <c r="F629" s="2" t="s">
        <v>1913</v>
      </c>
      <c r="G629" s="2">
        <v>0</v>
      </c>
      <c r="H629" s="2">
        <v>0</v>
      </c>
      <c r="I629" s="1">
        <v>0</v>
      </c>
      <c r="J629" s="3" t="s">
        <v>447</v>
      </c>
      <c r="K629" s="2" t="str">
        <f>J629*478.80</f>
        <v>0</v>
      </c>
      <c r="L629" s="5"/>
    </row>
    <row r="630" spans="1:12" customHeight="1" ht="105" outlineLevel="4">
      <c r="A630" s="1"/>
      <c r="B630" s="1">
        <v>930344</v>
      </c>
      <c r="C630" s="1" t="s">
        <v>1914</v>
      </c>
      <c r="D630" s="1"/>
      <c r="E630" s="2" t="s">
        <v>1915</v>
      </c>
      <c r="F630" s="2" t="s">
        <v>1916</v>
      </c>
      <c r="G630" s="2">
        <v>0</v>
      </c>
      <c r="H630" s="2">
        <v>0</v>
      </c>
      <c r="I630" s="1">
        <v>0</v>
      </c>
      <c r="J630" s="3" t="s">
        <v>447</v>
      </c>
      <c r="K630" s="2" t="str">
        <f>J630*745.56</f>
        <v>0</v>
      </c>
      <c r="L630" s="5"/>
    </row>
    <row r="631" spans="1:12" customHeight="1" ht="105" outlineLevel="4">
      <c r="A631" s="1"/>
      <c r="B631" s="1">
        <v>930345</v>
      </c>
      <c r="C631" s="1" t="s">
        <v>1917</v>
      </c>
      <c r="D631" s="1"/>
      <c r="E631" s="2" t="s">
        <v>1918</v>
      </c>
      <c r="F631" s="2" t="s">
        <v>1919</v>
      </c>
      <c r="G631" s="2">
        <v>0</v>
      </c>
      <c r="H631" s="2">
        <v>0</v>
      </c>
      <c r="I631" s="1">
        <v>0</v>
      </c>
      <c r="J631" s="3" t="s">
        <v>447</v>
      </c>
      <c r="K631" s="2" t="str">
        <f>J631*791.73</f>
        <v>0</v>
      </c>
      <c r="L631" s="5"/>
    </row>
    <row r="632" spans="1:12" customHeight="1" ht="105" outlineLevel="4">
      <c r="A632" s="1"/>
      <c r="B632" s="1">
        <v>930346</v>
      </c>
      <c r="C632" s="1" t="s">
        <v>1920</v>
      </c>
      <c r="D632" s="1"/>
      <c r="E632" s="2" t="s">
        <v>1921</v>
      </c>
      <c r="F632" s="2" t="s">
        <v>1922</v>
      </c>
      <c r="G632" s="2">
        <v>0</v>
      </c>
      <c r="H632" s="2">
        <v>0</v>
      </c>
      <c r="I632" s="1">
        <v>0</v>
      </c>
      <c r="J632" s="3" t="s">
        <v>447</v>
      </c>
      <c r="K632" s="2" t="str">
        <f>J632*974.70</f>
        <v>0</v>
      </c>
      <c r="L632" s="5"/>
    </row>
    <row r="633" spans="1:12" customHeight="1" ht="105" outlineLevel="4">
      <c r="A633" s="1"/>
      <c r="B633" s="1">
        <v>930347</v>
      </c>
      <c r="C633" s="1" t="s">
        <v>1923</v>
      </c>
      <c r="D633" s="1"/>
      <c r="E633" s="2" t="s">
        <v>1924</v>
      </c>
      <c r="F633" s="2" t="s">
        <v>1884</v>
      </c>
      <c r="G633" s="2">
        <v>0</v>
      </c>
      <c r="H633" s="2">
        <v>0</v>
      </c>
      <c r="I633" s="1">
        <v>0</v>
      </c>
      <c r="J633" s="3" t="s">
        <v>447</v>
      </c>
      <c r="K633" s="2" t="str">
        <f>J633*1342.35</f>
        <v>0</v>
      </c>
      <c r="L633" s="5"/>
    </row>
    <row r="634" spans="1:12" customHeight="1" ht="105" outlineLevel="4">
      <c r="A634" s="1"/>
      <c r="B634" s="1">
        <v>930348</v>
      </c>
      <c r="C634" s="1" t="s">
        <v>1925</v>
      </c>
      <c r="D634" s="1"/>
      <c r="E634" s="2" t="s">
        <v>1926</v>
      </c>
      <c r="F634" s="2" t="s">
        <v>1927</v>
      </c>
      <c r="G634" s="2">
        <v>0</v>
      </c>
      <c r="H634" s="2">
        <v>0</v>
      </c>
      <c r="I634" s="1">
        <v>0</v>
      </c>
      <c r="J634" s="3" t="s">
        <v>447</v>
      </c>
      <c r="K634" s="2" t="str">
        <f>J634*92.34</f>
        <v>0</v>
      </c>
      <c r="L634" s="5"/>
    </row>
    <row r="635" spans="1:12" customHeight="1" ht="105" outlineLevel="4">
      <c r="A635" s="1"/>
      <c r="B635" s="1">
        <v>930349</v>
      </c>
      <c r="C635" s="1" t="s">
        <v>1928</v>
      </c>
      <c r="D635" s="1"/>
      <c r="E635" s="2" t="s">
        <v>1929</v>
      </c>
      <c r="F635" s="2" t="s">
        <v>1930</v>
      </c>
      <c r="G635" s="2">
        <v>0</v>
      </c>
      <c r="H635" s="2">
        <v>0</v>
      </c>
      <c r="I635" s="1">
        <v>0</v>
      </c>
      <c r="J635" s="3" t="s">
        <v>447</v>
      </c>
      <c r="K635" s="2" t="str">
        <f>J635*104.31</f>
        <v>0</v>
      </c>
      <c r="L635" s="5"/>
    </row>
    <row r="636" spans="1:12" customHeight="1" ht="105" outlineLevel="4">
      <c r="A636" s="1"/>
      <c r="B636" s="1">
        <v>930350</v>
      </c>
      <c r="C636" s="1" t="s">
        <v>1931</v>
      </c>
      <c r="D636" s="1"/>
      <c r="E636" s="2" t="s">
        <v>1932</v>
      </c>
      <c r="F636" s="2" t="s">
        <v>1933</v>
      </c>
      <c r="G636" s="2">
        <v>0</v>
      </c>
      <c r="H636" s="2">
        <v>0</v>
      </c>
      <c r="I636" s="1">
        <v>0</v>
      </c>
      <c r="J636" s="3" t="s">
        <v>447</v>
      </c>
      <c r="K636" s="2" t="str">
        <f>J636*133.38</f>
        <v>0</v>
      </c>
      <c r="L636" s="5"/>
    </row>
    <row r="637" spans="1:12" customHeight="1" ht="105" outlineLevel="4">
      <c r="A637" s="1"/>
      <c r="B637" s="1">
        <v>930351</v>
      </c>
      <c r="C637" s="1" t="s">
        <v>1934</v>
      </c>
      <c r="D637" s="1"/>
      <c r="E637" s="2" t="s">
        <v>1935</v>
      </c>
      <c r="F637" s="2" t="s">
        <v>1927</v>
      </c>
      <c r="G637" s="2">
        <v>0</v>
      </c>
      <c r="H637" s="2">
        <v>0</v>
      </c>
      <c r="I637" s="1">
        <v>0</v>
      </c>
      <c r="J637" s="3" t="s">
        <v>447</v>
      </c>
      <c r="K637" s="2" t="str">
        <f>J637*92.34</f>
        <v>0</v>
      </c>
      <c r="L637" s="5"/>
    </row>
    <row r="638" spans="1:12" customHeight="1" ht="105" outlineLevel="4">
      <c r="A638" s="1"/>
      <c r="B638" s="1">
        <v>930352</v>
      </c>
      <c r="C638" s="1" t="s">
        <v>1936</v>
      </c>
      <c r="D638" s="1"/>
      <c r="E638" s="2" t="s">
        <v>1937</v>
      </c>
      <c r="F638" s="2" t="s">
        <v>1930</v>
      </c>
      <c r="G638" s="2">
        <v>0</v>
      </c>
      <c r="H638" s="2">
        <v>0</v>
      </c>
      <c r="I638" s="1">
        <v>0</v>
      </c>
      <c r="J638" s="3" t="s">
        <v>447</v>
      </c>
      <c r="K638" s="2" t="str">
        <f>J638*104.31</f>
        <v>0</v>
      </c>
      <c r="L638" s="5"/>
    </row>
    <row r="639" spans="1:12" customHeight="1" ht="105" outlineLevel="4">
      <c r="A639" s="1"/>
      <c r="B639" s="1">
        <v>930353</v>
      </c>
      <c r="C639" s="1" t="s">
        <v>1938</v>
      </c>
      <c r="D639" s="1"/>
      <c r="E639" s="2" t="s">
        <v>1939</v>
      </c>
      <c r="F639" s="2" t="s">
        <v>1933</v>
      </c>
      <c r="G639" s="2">
        <v>0</v>
      </c>
      <c r="H639" s="2">
        <v>0</v>
      </c>
      <c r="I639" s="1">
        <v>0</v>
      </c>
      <c r="J639" s="3" t="s">
        <v>447</v>
      </c>
      <c r="K639" s="2" t="str">
        <f>J639*133.38</f>
        <v>0</v>
      </c>
      <c r="L639" s="5"/>
    </row>
    <row r="640" spans="1:12" customHeight="1" ht="105" outlineLevel="4">
      <c r="A640" s="1"/>
      <c r="B640" s="1">
        <v>930401</v>
      </c>
      <c r="C640" s="1" t="s">
        <v>1940</v>
      </c>
      <c r="D640" s="1"/>
      <c r="E640" s="2" t="s">
        <v>1941</v>
      </c>
      <c r="F640" s="2" t="s">
        <v>1578</v>
      </c>
      <c r="G640" s="2" t="s">
        <v>58</v>
      </c>
      <c r="H640" s="2">
        <v>0</v>
      </c>
      <c r="I640" s="1">
        <v>0</v>
      </c>
      <c r="J640" s="3" t="s">
        <v>447</v>
      </c>
      <c r="K640" s="2" t="str">
        <f>J640*5.13</f>
        <v>0</v>
      </c>
      <c r="L640" s="5"/>
    </row>
    <row r="641" spans="1:12" customHeight="1" ht="105" outlineLevel="4">
      <c r="A641" s="1"/>
      <c r="B641" s="1">
        <v>930402</v>
      </c>
      <c r="C641" s="1" t="s">
        <v>1942</v>
      </c>
      <c r="D641" s="1"/>
      <c r="E641" s="2" t="s">
        <v>1943</v>
      </c>
      <c r="F641" s="2" t="s">
        <v>1944</v>
      </c>
      <c r="G641" s="2" t="s">
        <v>152</v>
      </c>
      <c r="H641" s="2">
        <v>0</v>
      </c>
      <c r="I641" s="1">
        <v>0</v>
      </c>
      <c r="J641" s="3" t="s">
        <v>447</v>
      </c>
      <c r="K641" s="2" t="str">
        <f>J641*6.84</f>
        <v>0</v>
      </c>
      <c r="L641" s="5"/>
    </row>
    <row r="642" spans="1:12" customHeight="1" ht="105" outlineLevel="4">
      <c r="A642" s="1"/>
      <c r="B642" s="1">
        <v>930403</v>
      </c>
      <c r="C642" s="1" t="s">
        <v>1945</v>
      </c>
      <c r="D642" s="1"/>
      <c r="E642" s="2" t="s">
        <v>1946</v>
      </c>
      <c r="F642" s="2" t="s">
        <v>1947</v>
      </c>
      <c r="G642" s="2" t="s">
        <v>153</v>
      </c>
      <c r="H642" s="2">
        <v>0</v>
      </c>
      <c r="I642" s="1">
        <v>0</v>
      </c>
      <c r="J642" s="3" t="s">
        <v>447</v>
      </c>
      <c r="K642" s="2" t="str">
        <f>J642*11.97</f>
        <v>0</v>
      </c>
      <c r="L642" s="5"/>
    </row>
    <row r="643" spans="1:12" customHeight="1" ht="105" outlineLevel="4">
      <c r="A643" s="1"/>
      <c r="B643" s="1">
        <v>930404</v>
      </c>
      <c r="C643" s="1" t="s">
        <v>1948</v>
      </c>
      <c r="D643" s="1"/>
      <c r="E643" s="2" t="s">
        <v>1949</v>
      </c>
      <c r="F643" s="2" t="s">
        <v>1950</v>
      </c>
      <c r="G643" s="2" t="s">
        <v>58</v>
      </c>
      <c r="H643" s="2">
        <v>0</v>
      </c>
      <c r="I643" s="1">
        <v>0</v>
      </c>
      <c r="J643" s="3" t="s">
        <v>447</v>
      </c>
      <c r="K643" s="2" t="str">
        <f>J643*20.52</f>
        <v>0</v>
      </c>
      <c r="L643" s="5"/>
    </row>
    <row r="644" spans="1:12" customHeight="1" ht="105" outlineLevel="4">
      <c r="A644" s="1"/>
      <c r="B644" s="1">
        <v>930405</v>
      </c>
      <c r="C644" s="1" t="s">
        <v>1951</v>
      </c>
      <c r="D644" s="1"/>
      <c r="E644" s="2" t="s">
        <v>1952</v>
      </c>
      <c r="F644" s="2" t="s">
        <v>1953</v>
      </c>
      <c r="G644" s="2" t="s">
        <v>58</v>
      </c>
      <c r="H644" s="2">
        <v>0</v>
      </c>
      <c r="I644" s="1">
        <v>0</v>
      </c>
      <c r="J644" s="3" t="s">
        <v>447</v>
      </c>
      <c r="K644" s="2" t="str">
        <f>J644*29.07</f>
        <v>0</v>
      </c>
      <c r="L644" s="5"/>
    </row>
    <row r="645" spans="1:12" customHeight="1" ht="105" outlineLevel="4">
      <c r="A645" s="1"/>
      <c r="B645" s="1">
        <v>930406</v>
      </c>
      <c r="C645" s="1" t="s">
        <v>1954</v>
      </c>
      <c r="D645" s="1"/>
      <c r="E645" s="2" t="s">
        <v>1955</v>
      </c>
      <c r="F645" s="2" t="s">
        <v>1956</v>
      </c>
      <c r="G645" s="2" t="s">
        <v>58</v>
      </c>
      <c r="H645" s="2">
        <v>0</v>
      </c>
      <c r="I645" s="1">
        <v>0</v>
      </c>
      <c r="J645" s="3" t="s">
        <v>447</v>
      </c>
      <c r="K645" s="2" t="str">
        <f>J645*46.17</f>
        <v>0</v>
      </c>
      <c r="L645" s="5"/>
    </row>
    <row r="646" spans="1:12" customHeight="1" ht="105" outlineLevel="4">
      <c r="A646" s="1"/>
      <c r="B646" s="1">
        <v>930407</v>
      </c>
      <c r="C646" s="1" t="s">
        <v>1957</v>
      </c>
      <c r="D646" s="1"/>
      <c r="E646" s="2" t="s">
        <v>1958</v>
      </c>
      <c r="F646" s="2" t="s">
        <v>1959</v>
      </c>
      <c r="G646" s="2">
        <v>0</v>
      </c>
      <c r="H646" s="2">
        <v>0</v>
      </c>
      <c r="I646" s="1">
        <v>0</v>
      </c>
      <c r="J646" s="3" t="s">
        <v>447</v>
      </c>
      <c r="K646" s="2" t="str">
        <f>J646*97.47</f>
        <v>0</v>
      </c>
      <c r="L646" s="5"/>
    </row>
    <row r="647" spans="1:12" customHeight="1" ht="105" outlineLevel="4">
      <c r="A647" s="1"/>
      <c r="B647" s="1">
        <v>930408</v>
      </c>
      <c r="C647" s="1" t="s">
        <v>1960</v>
      </c>
      <c r="D647" s="1"/>
      <c r="E647" s="2" t="s">
        <v>1961</v>
      </c>
      <c r="F647" s="2" t="s">
        <v>1962</v>
      </c>
      <c r="G647" s="2">
        <v>0</v>
      </c>
      <c r="H647" s="2">
        <v>0</v>
      </c>
      <c r="I647" s="1">
        <v>0</v>
      </c>
      <c r="J647" s="3" t="s">
        <v>447</v>
      </c>
      <c r="K647" s="2" t="str">
        <f>J647*159.03</f>
        <v>0</v>
      </c>
      <c r="L647" s="5"/>
    </row>
    <row r="648" spans="1:12" customHeight="1" ht="105" outlineLevel="4">
      <c r="A648" s="1"/>
      <c r="B648" s="1">
        <v>930409</v>
      </c>
      <c r="C648" s="1" t="s">
        <v>1963</v>
      </c>
      <c r="D648" s="1"/>
      <c r="E648" s="2" t="s">
        <v>1964</v>
      </c>
      <c r="F648" s="2" t="s">
        <v>1866</v>
      </c>
      <c r="G648" s="2">
        <v>0</v>
      </c>
      <c r="H648" s="2">
        <v>0</v>
      </c>
      <c r="I648" s="1">
        <v>0</v>
      </c>
      <c r="J648" s="3" t="s">
        <v>447</v>
      </c>
      <c r="K648" s="2" t="str">
        <f>J648*256.50</f>
        <v>0</v>
      </c>
      <c r="L648" s="5"/>
    </row>
    <row r="649" spans="1:12" customHeight="1" ht="105" outlineLevel="4">
      <c r="A649" s="1"/>
      <c r="B649" s="1">
        <v>930410</v>
      </c>
      <c r="C649" s="1" t="s">
        <v>1965</v>
      </c>
      <c r="D649" s="1"/>
      <c r="E649" s="2" t="s">
        <v>1966</v>
      </c>
      <c r="F649" s="2" t="s">
        <v>1944</v>
      </c>
      <c r="G649" s="2" t="s">
        <v>136</v>
      </c>
      <c r="H649" s="2">
        <v>0</v>
      </c>
      <c r="I649" s="1">
        <v>0</v>
      </c>
      <c r="J649" s="3" t="s">
        <v>447</v>
      </c>
      <c r="K649" s="2" t="str">
        <f>J649*6.84</f>
        <v>0</v>
      </c>
      <c r="L649" s="5"/>
    </row>
    <row r="650" spans="1:12" customHeight="1" ht="105" outlineLevel="4">
      <c r="A650" s="1"/>
      <c r="B650" s="1">
        <v>930411</v>
      </c>
      <c r="C650" s="1" t="s">
        <v>1967</v>
      </c>
      <c r="D650" s="1"/>
      <c r="E650" s="2" t="s">
        <v>1968</v>
      </c>
      <c r="F650" s="2" t="s">
        <v>1947</v>
      </c>
      <c r="G650" s="2" t="s">
        <v>58</v>
      </c>
      <c r="H650" s="2">
        <v>0</v>
      </c>
      <c r="I650" s="1">
        <v>0</v>
      </c>
      <c r="J650" s="3" t="s">
        <v>447</v>
      </c>
      <c r="K650" s="2" t="str">
        <f>J650*11.97</f>
        <v>0</v>
      </c>
      <c r="L650" s="5"/>
    </row>
    <row r="651" spans="1:12" customHeight="1" ht="105" outlineLevel="4">
      <c r="A651" s="1"/>
      <c r="B651" s="1">
        <v>930412</v>
      </c>
      <c r="C651" s="1" t="s">
        <v>1969</v>
      </c>
      <c r="D651" s="1"/>
      <c r="E651" s="2" t="s">
        <v>1970</v>
      </c>
      <c r="F651" s="2" t="s">
        <v>1947</v>
      </c>
      <c r="G651" s="2" t="s">
        <v>58</v>
      </c>
      <c r="H651" s="2">
        <v>0</v>
      </c>
      <c r="I651" s="1">
        <v>0</v>
      </c>
      <c r="J651" s="3" t="s">
        <v>447</v>
      </c>
      <c r="K651" s="2" t="str">
        <f>J651*11.97</f>
        <v>0</v>
      </c>
      <c r="L651" s="5"/>
    </row>
    <row r="652" spans="1:12" customHeight="1" ht="105" outlineLevel="4">
      <c r="A652" s="1"/>
      <c r="B652" s="1">
        <v>930413</v>
      </c>
      <c r="C652" s="1" t="s">
        <v>1971</v>
      </c>
      <c r="D652" s="1"/>
      <c r="E652" s="2" t="s">
        <v>1972</v>
      </c>
      <c r="F652" s="2" t="s">
        <v>1177</v>
      </c>
      <c r="G652" s="2">
        <v>0</v>
      </c>
      <c r="H652" s="2">
        <v>0</v>
      </c>
      <c r="I652" s="1">
        <v>0</v>
      </c>
      <c r="J652" s="3" t="s">
        <v>447</v>
      </c>
      <c r="K652" s="2" t="str">
        <f>J652*17.10</f>
        <v>0</v>
      </c>
      <c r="L652" s="5"/>
    </row>
    <row r="653" spans="1:12" customHeight="1" ht="105" outlineLevel="4">
      <c r="A653" s="1"/>
      <c r="B653" s="1">
        <v>930414</v>
      </c>
      <c r="C653" s="1" t="s">
        <v>1973</v>
      </c>
      <c r="D653" s="1"/>
      <c r="E653" s="2" t="s">
        <v>1974</v>
      </c>
      <c r="F653" s="2" t="s">
        <v>1177</v>
      </c>
      <c r="G653" s="2">
        <v>0</v>
      </c>
      <c r="H653" s="2">
        <v>0</v>
      </c>
      <c r="I653" s="1">
        <v>0</v>
      </c>
      <c r="J653" s="3" t="s">
        <v>447</v>
      </c>
      <c r="K653" s="2" t="str">
        <f>J653*17.10</f>
        <v>0</v>
      </c>
      <c r="L653" s="5"/>
    </row>
    <row r="654" spans="1:12" customHeight="1" ht="105" outlineLevel="4">
      <c r="A654" s="1"/>
      <c r="B654" s="1">
        <v>930415</v>
      </c>
      <c r="C654" s="1" t="s">
        <v>1975</v>
      </c>
      <c r="D654" s="1"/>
      <c r="E654" s="2" t="s">
        <v>1976</v>
      </c>
      <c r="F654" s="2" t="s">
        <v>1950</v>
      </c>
      <c r="G654" s="2" t="s">
        <v>58</v>
      </c>
      <c r="H654" s="2">
        <v>0</v>
      </c>
      <c r="I654" s="1">
        <v>0</v>
      </c>
      <c r="J654" s="3" t="s">
        <v>447</v>
      </c>
      <c r="K654" s="2" t="str">
        <f>J654*20.52</f>
        <v>0</v>
      </c>
      <c r="L654" s="5"/>
    </row>
    <row r="655" spans="1:12" customHeight="1" ht="105" outlineLevel="4">
      <c r="A655" s="1"/>
      <c r="B655" s="1">
        <v>930416</v>
      </c>
      <c r="C655" s="1" t="s">
        <v>1977</v>
      </c>
      <c r="D655" s="1"/>
      <c r="E655" s="2" t="s">
        <v>1978</v>
      </c>
      <c r="F655" s="2" t="s">
        <v>1979</v>
      </c>
      <c r="G655" s="2">
        <v>0</v>
      </c>
      <c r="H655" s="2">
        <v>0</v>
      </c>
      <c r="I655" s="1">
        <v>0</v>
      </c>
      <c r="J655" s="3" t="s">
        <v>447</v>
      </c>
      <c r="K655" s="2" t="str">
        <f>J655*34.20</f>
        <v>0</v>
      </c>
      <c r="L655" s="5"/>
    </row>
    <row r="656" spans="1:12" customHeight="1" ht="105" outlineLevel="4">
      <c r="A656" s="1"/>
      <c r="B656" s="1">
        <v>930417</v>
      </c>
      <c r="C656" s="1" t="s">
        <v>1980</v>
      </c>
      <c r="D656" s="1"/>
      <c r="E656" s="2" t="s">
        <v>1981</v>
      </c>
      <c r="F656" s="2" t="s">
        <v>1982</v>
      </c>
      <c r="G656" s="2">
        <v>0</v>
      </c>
      <c r="H656" s="2">
        <v>0</v>
      </c>
      <c r="I656" s="1">
        <v>0</v>
      </c>
      <c r="J656" s="3" t="s">
        <v>447</v>
      </c>
      <c r="K656" s="2" t="str">
        <f>J656*35.91</f>
        <v>0</v>
      </c>
      <c r="L656" s="5"/>
    </row>
    <row r="657" spans="1:12" customHeight="1" ht="105" outlineLevel="4">
      <c r="A657" s="1"/>
      <c r="B657" s="1">
        <v>930418</v>
      </c>
      <c r="C657" s="1" t="s">
        <v>1983</v>
      </c>
      <c r="D657" s="1"/>
      <c r="E657" s="2" t="s">
        <v>1984</v>
      </c>
      <c r="F657" s="2" t="s">
        <v>1982</v>
      </c>
      <c r="G657" s="2">
        <v>0</v>
      </c>
      <c r="H657" s="2">
        <v>0</v>
      </c>
      <c r="I657" s="1">
        <v>0</v>
      </c>
      <c r="J657" s="3" t="s">
        <v>447</v>
      </c>
      <c r="K657" s="2" t="str">
        <f>J657*35.91</f>
        <v>0</v>
      </c>
      <c r="L657" s="5"/>
    </row>
    <row r="658" spans="1:12" customHeight="1" ht="105" outlineLevel="4">
      <c r="A658" s="1"/>
      <c r="B658" s="1">
        <v>930419</v>
      </c>
      <c r="C658" s="1" t="s">
        <v>1985</v>
      </c>
      <c r="D658" s="1"/>
      <c r="E658" s="2" t="s">
        <v>1986</v>
      </c>
      <c r="F658" s="2" t="s">
        <v>1987</v>
      </c>
      <c r="G658" s="2">
        <v>0</v>
      </c>
      <c r="H658" s="2">
        <v>0</v>
      </c>
      <c r="I658" s="1">
        <v>0</v>
      </c>
      <c r="J658" s="3" t="s">
        <v>447</v>
      </c>
      <c r="K658" s="2" t="str">
        <f>J658*39.33</f>
        <v>0</v>
      </c>
      <c r="L658" s="5"/>
    </row>
    <row r="659" spans="1:12" customHeight="1" ht="105" outlineLevel="4">
      <c r="A659" s="1"/>
      <c r="B659" s="1">
        <v>930422</v>
      </c>
      <c r="C659" s="1" t="s">
        <v>1988</v>
      </c>
      <c r="D659" s="1"/>
      <c r="E659" s="2" t="s">
        <v>1989</v>
      </c>
      <c r="F659" s="2" t="s">
        <v>1990</v>
      </c>
      <c r="G659" s="2">
        <v>0</v>
      </c>
      <c r="H659" s="2">
        <v>0</v>
      </c>
      <c r="I659" s="1">
        <v>0</v>
      </c>
      <c r="J659" s="3" t="s">
        <v>447</v>
      </c>
      <c r="K659" s="2" t="str">
        <f>J659*61.56</f>
        <v>0</v>
      </c>
      <c r="L659" s="5"/>
    </row>
    <row r="660" spans="1:12" customHeight="1" ht="105" outlineLevel="4">
      <c r="A660" s="1"/>
      <c r="B660" s="1">
        <v>930423</v>
      </c>
      <c r="C660" s="1" t="s">
        <v>1991</v>
      </c>
      <c r="D660" s="1"/>
      <c r="E660" s="2" t="s">
        <v>1992</v>
      </c>
      <c r="F660" s="2" t="s">
        <v>1993</v>
      </c>
      <c r="G660" s="2">
        <v>0</v>
      </c>
      <c r="H660" s="2">
        <v>0</v>
      </c>
      <c r="I660" s="1">
        <v>0</v>
      </c>
      <c r="J660" s="3" t="s">
        <v>447</v>
      </c>
      <c r="K660" s="2" t="str">
        <f>J660*70.11</f>
        <v>0</v>
      </c>
      <c r="L660" s="5"/>
    </row>
    <row r="661" spans="1:12" customHeight="1" ht="105" outlineLevel="4">
      <c r="A661" s="1"/>
      <c r="B661" s="1">
        <v>930424</v>
      </c>
      <c r="C661" s="1" t="s">
        <v>1994</v>
      </c>
      <c r="D661" s="1"/>
      <c r="E661" s="2" t="s">
        <v>1995</v>
      </c>
      <c r="F661" s="2" t="s">
        <v>1993</v>
      </c>
      <c r="G661" s="2">
        <v>0</v>
      </c>
      <c r="H661" s="2">
        <v>0</v>
      </c>
      <c r="I661" s="1">
        <v>0</v>
      </c>
      <c r="J661" s="3" t="s">
        <v>447</v>
      </c>
      <c r="K661" s="2" t="str">
        <f>J661*70.11</f>
        <v>0</v>
      </c>
      <c r="L661" s="5"/>
    </row>
    <row r="662" spans="1:12" customHeight="1" ht="105" outlineLevel="4">
      <c r="A662" s="1"/>
      <c r="B662" s="1">
        <v>930425</v>
      </c>
      <c r="C662" s="1" t="s">
        <v>1996</v>
      </c>
      <c r="D662" s="1"/>
      <c r="E662" s="2" t="s">
        <v>1997</v>
      </c>
      <c r="F662" s="2" t="s">
        <v>1998</v>
      </c>
      <c r="G662" s="2">
        <v>0</v>
      </c>
      <c r="H662" s="2">
        <v>0</v>
      </c>
      <c r="I662" s="1">
        <v>0</v>
      </c>
      <c r="J662" s="3" t="s">
        <v>447</v>
      </c>
      <c r="K662" s="2" t="str">
        <f>J662*88.92</f>
        <v>0</v>
      </c>
      <c r="L662" s="5"/>
    </row>
    <row r="663" spans="1:12" customHeight="1" ht="105" outlineLevel="4">
      <c r="A663" s="1"/>
      <c r="B663" s="1">
        <v>930426</v>
      </c>
      <c r="C663" s="1" t="s">
        <v>1999</v>
      </c>
      <c r="D663" s="1"/>
      <c r="E663" s="2" t="s">
        <v>2000</v>
      </c>
      <c r="F663" s="2" t="s">
        <v>2001</v>
      </c>
      <c r="G663" s="2">
        <v>0</v>
      </c>
      <c r="H663" s="2">
        <v>0</v>
      </c>
      <c r="I663" s="1">
        <v>0</v>
      </c>
      <c r="J663" s="3" t="s">
        <v>447</v>
      </c>
      <c r="K663" s="2" t="str">
        <f>J663*128.25</f>
        <v>0</v>
      </c>
      <c r="L663" s="5"/>
    </row>
    <row r="664" spans="1:12" customHeight="1" ht="105" outlineLevel="4">
      <c r="A664" s="1"/>
      <c r="B664" s="1">
        <v>930427</v>
      </c>
      <c r="C664" s="1" t="s">
        <v>2002</v>
      </c>
      <c r="D664" s="1"/>
      <c r="E664" s="2" t="s">
        <v>2003</v>
      </c>
      <c r="F664" s="2" t="s">
        <v>2004</v>
      </c>
      <c r="G664" s="2">
        <v>0</v>
      </c>
      <c r="H664" s="2">
        <v>0</v>
      </c>
      <c r="I664" s="1">
        <v>0</v>
      </c>
      <c r="J664" s="3" t="s">
        <v>447</v>
      </c>
      <c r="K664" s="2" t="str">
        <f>J664*136.80</f>
        <v>0</v>
      </c>
      <c r="L664" s="5"/>
    </row>
    <row r="665" spans="1:12" customHeight="1" ht="105" outlineLevel="4">
      <c r="A665" s="1"/>
      <c r="B665" s="1">
        <v>930428</v>
      </c>
      <c r="C665" s="1" t="s">
        <v>2005</v>
      </c>
      <c r="D665" s="1"/>
      <c r="E665" s="2" t="s">
        <v>2006</v>
      </c>
      <c r="F665" s="2" t="s">
        <v>2007</v>
      </c>
      <c r="G665" s="2">
        <v>0</v>
      </c>
      <c r="H665" s="2">
        <v>0</v>
      </c>
      <c r="I665" s="1">
        <v>0</v>
      </c>
      <c r="J665" s="3" t="s">
        <v>447</v>
      </c>
      <c r="K665" s="2" t="str">
        <f>J665*196.65</f>
        <v>0</v>
      </c>
      <c r="L665" s="5"/>
    </row>
    <row r="666" spans="1:12" customHeight="1" ht="105" outlineLevel="4">
      <c r="A666" s="1"/>
      <c r="B666" s="1">
        <v>930429</v>
      </c>
      <c r="C666" s="1" t="s">
        <v>2008</v>
      </c>
      <c r="D666" s="1"/>
      <c r="E666" s="2" t="s">
        <v>2009</v>
      </c>
      <c r="F666" s="2" t="s">
        <v>2010</v>
      </c>
      <c r="G666" s="2">
        <v>0</v>
      </c>
      <c r="H666" s="2">
        <v>0</v>
      </c>
      <c r="I666" s="1">
        <v>0</v>
      </c>
      <c r="J666" s="3" t="s">
        <v>447</v>
      </c>
      <c r="K666" s="2" t="str">
        <f>J666*203.49</f>
        <v>0</v>
      </c>
      <c r="L666" s="5"/>
    </row>
    <row r="667" spans="1:12" customHeight="1" ht="105" outlineLevel="4">
      <c r="A667" s="1"/>
      <c r="B667" s="1">
        <v>930430</v>
      </c>
      <c r="C667" s="1" t="s">
        <v>2011</v>
      </c>
      <c r="D667" s="1"/>
      <c r="E667" s="2" t="s">
        <v>2012</v>
      </c>
      <c r="F667" s="2" t="s">
        <v>2013</v>
      </c>
      <c r="G667" s="2">
        <v>0</v>
      </c>
      <c r="H667" s="2">
        <v>0</v>
      </c>
      <c r="I667" s="1">
        <v>0</v>
      </c>
      <c r="J667" s="3" t="s">
        <v>447</v>
      </c>
      <c r="K667" s="2" t="str">
        <f>J667*215.46</f>
        <v>0</v>
      </c>
      <c r="L667" s="5"/>
    </row>
    <row r="668" spans="1:12" customHeight="1" ht="105" outlineLevel="4">
      <c r="A668" s="1"/>
      <c r="B668" s="1">
        <v>930431</v>
      </c>
      <c r="C668" s="1" t="s">
        <v>2014</v>
      </c>
      <c r="D668" s="1"/>
      <c r="E668" s="2" t="s">
        <v>2015</v>
      </c>
      <c r="F668" s="2" t="s">
        <v>1578</v>
      </c>
      <c r="G668" s="2">
        <v>0</v>
      </c>
      <c r="H668" s="2">
        <v>0</v>
      </c>
      <c r="I668" s="1">
        <v>0</v>
      </c>
      <c r="J668" s="3" t="s">
        <v>447</v>
      </c>
      <c r="K668" s="2" t="str">
        <f>J668*5.13</f>
        <v>0</v>
      </c>
      <c r="L668" s="5"/>
    </row>
    <row r="669" spans="1:12" customHeight="1" ht="105" outlineLevel="4">
      <c r="A669" s="1"/>
      <c r="B669" s="1">
        <v>930432</v>
      </c>
      <c r="C669" s="1" t="s">
        <v>2016</v>
      </c>
      <c r="D669" s="1"/>
      <c r="E669" s="2" t="s">
        <v>2017</v>
      </c>
      <c r="F669" s="2" t="s">
        <v>2018</v>
      </c>
      <c r="G669" s="2" t="s">
        <v>180</v>
      </c>
      <c r="H669" s="2">
        <v>0</v>
      </c>
      <c r="I669" s="1">
        <v>0</v>
      </c>
      <c r="J669" s="3" t="s">
        <v>447</v>
      </c>
      <c r="K669" s="2" t="str">
        <f>J669*10.26</f>
        <v>0</v>
      </c>
      <c r="L669" s="5"/>
    </row>
    <row r="670" spans="1:12" customHeight="1" ht="105" outlineLevel="4">
      <c r="A670" s="1"/>
      <c r="B670" s="1">
        <v>930433</v>
      </c>
      <c r="C670" s="1" t="s">
        <v>2019</v>
      </c>
      <c r="D670" s="1"/>
      <c r="E670" s="2" t="s">
        <v>2020</v>
      </c>
      <c r="F670" s="2" t="s">
        <v>2021</v>
      </c>
      <c r="G670" s="2" t="s">
        <v>136</v>
      </c>
      <c r="H670" s="2">
        <v>0</v>
      </c>
      <c r="I670" s="1">
        <v>0</v>
      </c>
      <c r="J670" s="3" t="s">
        <v>447</v>
      </c>
      <c r="K670" s="2" t="str">
        <f>J670*18.81</f>
        <v>0</v>
      </c>
      <c r="L670" s="5"/>
    </row>
    <row r="671" spans="1:12" customHeight="1" ht="105" outlineLevel="4">
      <c r="A671" s="1"/>
      <c r="B671" s="1">
        <v>930434</v>
      </c>
      <c r="C671" s="1" t="s">
        <v>2022</v>
      </c>
      <c r="D671" s="1"/>
      <c r="E671" s="2" t="s">
        <v>2023</v>
      </c>
      <c r="F671" s="2" t="s">
        <v>1987</v>
      </c>
      <c r="G671" s="2" t="s">
        <v>58</v>
      </c>
      <c r="H671" s="2">
        <v>0</v>
      </c>
      <c r="I671" s="1">
        <v>0</v>
      </c>
      <c r="J671" s="3" t="s">
        <v>447</v>
      </c>
      <c r="K671" s="2" t="str">
        <f>J671*39.33</f>
        <v>0</v>
      </c>
      <c r="L671" s="5"/>
    </row>
    <row r="672" spans="1:12" customHeight="1" ht="105" outlineLevel="4">
      <c r="A672" s="1"/>
      <c r="B672" s="1">
        <v>930435</v>
      </c>
      <c r="C672" s="1" t="s">
        <v>2024</v>
      </c>
      <c r="D672" s="1"/>
      <c r="E672" s="2" t="s">
        <v>2025</v>
      </c>
      <c r="F672" s="2" t="s">
        <v>2026</v>
      </c>
      <c r="G672" s="2">
        <v>0</v>
      </c>
      <c r="H672" s="2">
        <v>0</v>
      </c>
      <c r="I672" s="1">
        <v>0</v>
      </c>
      <c r="J672" s="3" t="s">
        <v>447</v>
      </c>
      <c r="K672" s="2" t="str">
        <f>J672*58.14</f>
        <v>0</v>
      </c>
      <c r="L672" s="5"/>
    </row>
    <row r="673" spans="1:12" customHeight="1" ht="105" outlineLevel="4">
      <c r="A673" s="1"/>
      <c r="B673" s="1">
        <v>930436</v>
      </c>
      <c r="C673" s="1" t="s">
        <v>2027</v>
      </c>
      <c r="D673" s="1"/>
      <c r="E673" s="2" t="s">
        <v>2028</v>
      </c>
      <c r="F673" s="2" t="s">
        <v>1930</v>
      </c>
      <c r="G673" s="2" t="s">
        <v>74</v>
      </c>
      <c r="H673" s="2">
        <v>0</v>
      </c>
      <c r="I673" s="1">
        <v>0</v>
      </c>
      <c r="J673" s="3" t="s">
        <v>447</v>
      </c>
      <c r="K673" s="2" t="str">
        <f>J673*104.31</f>
        <v>0</v>
      </c>
      <c r="L673" s="5"/>
    </row>
    <row r="674" spans="1:12" customHeight="1" ht="105" outlineLevel="4">
      <c r="A674" s="1"/>
      <c r="B674" s="1">
        <v>930437</v>
      </c>
      <c r="C674" s="1" t="s">
        <v>2029</v>
      </c>
      <c r="D674" s="1"/>
      <c r="E674" s="2" t="s">
        <v>2030</v>
      </c>
      <c r="F674" s="2" t="s">
        <v>1578</v>
      </c>
      <c r="G674" s="2" t="s">
        <v>58</v>
      </c>
      <c r="H674" s="2">
        <v>0</v>
      </c>
      <c r="I674" s="1">
        <v>0</v>
      </c>
      <c r="J674" s="3" t="s">
        <v>447</v>
      </c>
      <c r="K674" s="2" t="str">
        <f>J674*5.13</f>
        <v>0</v>
      </c>
      <c r="L674" s="5"/>
    </row>
    <row r="675" spans="1:12" customHeight="1" ht="105" outlineLevel="4">
      <c r="A675" s="1"/>
      <c r="B675" s="1">
        <v>930438</v>
      </c>
      <c r="C675" s="1" t="s">
        <v>2031</v>
      </c>
      <c r="D675" s="1"/>
      <c r="E675" s="2" t="s">
        <v>2032</v>
      </c>
      <c r="F675" s="2" t="s">
        <v>2018</v>
      </c>
      <c r="G675" s="2" t="s">
        <v>136</v>
      </c>
      <c r="H675" s="2">
        <v>0</v>
      </c>
      <c r="I675" s="1">
        <v>0</v>
      </c>
      <c r="J675" s="3" t="s">
        <v>447</v>
      </c>
      <c r="K675" s="2" t="str">
        <f>J675*10.26</f>
        <v>0</v>
      </c>
      <c r="L675" s="5"/>
    </row>
    <row r="676" spans="1:12" customHeight="1" ht="105" outlineLevel="4">
      <c r="A676" s="1"/>
      <c r="B676" s="1">
        <v>930439</v>
      </c>
      <c r="C676" s="1" t="s">
        <v>2033</v>
      </c>
      <c r="D676" s="1"/>
      <c r="E676" s="2" t="s">
        <v>2034</v>
      </c>
      <c r="F676" s="2" t="s">
        <v>1177</v>
      </c>
      <c r="G676" s="2" t="s">
        <v>58</v>
      </c>
      <c r="H676" s="2">
        <v>0</v>
      </c>
      <c r="I676" s="1">
        <v>0</v>
      </c>
      <c r="J676" s="3" t="s">
        <v>447</v>
      </c>
      <c r="K676" s="2" t="str">
        <f>J676*17.10</f>
        <v>0</v>
      </c>
      <c r="L676" s="5"/>
    </row>
    <row r="677" spans="1:12" customHeight="1" ht="105" outlineLevel="4">
      <c r="A677" s="1"/>
      <c r="B677" s="1">
        <v>930440</v>
      </c>
      <c r="C677" s="1" t="s">
        <v>2035</v>
      </c>
      <c r="D677" s="1"/>
      <c r="E677" s="2" t="s">
        <v>2036</v>
      </c>
      <c r="F677" s="2" t="s">
        <v>1982</v>
      </c>
      <c r="G677" s="2" t="s">
        <v>58</v>
      </c>
      <c r="H677" s="2">
        <v>0</v>
      </c>
      <c r="I677" s="1">
        <v>0</v>
      </c>
      <c r="J677" s="3" t="s">
        <v>447</v>
      </c>
      <c r="K677" s="2" t="str">
        <f>J677*35.91</f>
        <v>0</v>
      </c>
      <c r="L677" s="5"/>
    </row>
    <row r="678" spans="1:12" customHeight="1" ht="105" outlineLevel="4">
      <c r="A678" s="1"/>
      <c r="B678" s="1">
        <v>930441</v>
      </c>
      <c r="C678" s="1" t="s">
        <v>2037</v>
      </c>
      <c r="D678" s="1"/>
      <c r="E678" s="2" t="s">
        <v>2038</v>
      </c>
      <c r="F678" s="2" t="s">
        <v>2039</v>
      </c>
      <c r="G678" s="2" t="s">
        <v>74</v>
      </c>
      <c r="H678" s="2">
        <v>0</v>
      </c>
      <c r="I678" s="1">
        <v>0</v>
      </c>
      <c r="J678" s="3" t="s">
        <v>447</v>
      </c>
      <c r="K678" s="2" t="str">
        <f>J678*54.72</f>
        <v>0</v>
      </c>
      <c r="L678" s="5"/>
    </row>
    <row r="679" spans="1:12" customHeight="1" ht="105" outlineLevel="4">
      <c r="A679" s="1"/>
      <c r="B679" s="1">
        <v>930442</v>
      </c>
      <c r="C679" s="1" t="s">
        <v>2040</v>
      </c>
      <c r="D679" s="1"/>
      <c r="E679" s="2" t="s">
        <v>2041</v>
      </c>
      <c r="F679" s="2" t="s">
        <v>1998</v>
      </c>
      <c r="G679" s="2" t="s">
        <v>74</v>
      </c>
      <c r="H679" s="2">
        <v>0</v>
      </c>
      <c r="I679" s="1">
        <v>0</v>
      </c>
      <c r="J679" s="3" t="s">
        <v>447</v>
      </c>
      <c r="K679" s="2" t="str">
        <f>J679*88.92</f>
        <v>0</v>
      </c>
      <c r="L679" s="5"/>
    </row>
    <row r="680" spans="1:12" customHeight="1" ht="105" outlineLevel="4">
      <c r="A680" s="1"/>
      <c r="B680" s="1">
        <v>930443</v>
      </c>
      <c r="C680" s="1" t="s">
        <v>2042</v>
      </c>
      <c r="D680" s="1"/>
      <c r="E680" s="2" t="s">
        <v>2043</v>
      </c>
      <c r="F680" s="2" t="s">
        <v>2044</v>
      </c>
      <c r="G680" s="2">
        <v>0</v>
      </c>
      <c r="H680" s="2">
        <v>0</v>
      </c>
      <c r="I680" s="1">
        <v>0</v>
      </c>
      <c r="J680" s="3" t="s">
        <v>447</v>
      </c>
      <c r="K680" s="2" t="str">
        <f>J680*208.62</f>
        <v>0</v>
      </c>
      <c r="L680" s="5"/>
    </row>
    <row r="681" spans="1:12" customHeight="1" ht="105" outlineLevel="4">
      <c r="A681" s="1"/>
      <c r="B681" s="1">
        <v>930444</v>
      </c>
      <c r="C681" s="1" t="s">
        <v>2045</v>
      </c>
      <c r="D681" s="1"/>
      <c r="E681" s="2" t="s">
        <v>2046</v>
      </c>
      <c r="F681" s="2" t="s">
        <v>2047</v>
      </c>
      <c r="G681" s="2">
        <v>0</v>
      </c>
      <c r="H681" s="2">
        <v>0</v>
      </c>
      <c r="I681" s="1">
        <v>0</v>
      </c>
      <c r="J681" s="3" t="s">
        <v>447</v>
      </c>
      <c r="K681" s="2" t="str">
        <f>J681*355.68</f>
        <v>0</v>
      </c>
      <c r="L681" s="5"/>
    </row>
    <row r="682" spans="1:12" customHeight="1" ht="105" outlineLevel="4">
      <c r="A682" s="1"/>
      <c r="B682" s="1">
        <v>930445</v>
      </c>
      <c r="C682" s="1" t="s">
        <v>2048</v>
      </c>
      <c r="D682" s="1"/>
      <c r="E682" s="2" t="s">
        <v>2049</v>
      </c>
      <c r="F682" s="2" t="s">
        <v>2050</v>
      </c>
      <c r="G682" s="2">
        <v>0</v>
      </c>
      <c r="H682" s="2">
        <v>0</v>
      </c>
      <c r="I682" s="1">
        <v>0</v>
      </c>
      <c r="J682" s="3" t="s">
        <v>447</v>
      </c>
      <c r="K682" s="2" t="str">
        <f>J682*557.46</f>
        <v>0</v>
      </c>
      <c r="L682" s="5"/>
    </row>
    <row r="683" spans="1:12" customHeight="1" ht="105" outlineLevel="4">
      <c r="A683" s="1"/>
      <c r="B683" s="1">
        <v>930446</v>
      </c>
      <c r="C683" s="1" t="s">
        <v>2051</v>
      </c>
      <c r="D683" s="1"/>
      <c r="E683" s="2" t="s">
        <v>2052</v>
      </c>
      <c r="F683" s="2" t="s">
        <v>2053</v>
      </c>
      <c r="G683" s="2">
        <v>0</v>
      </c>
      <c r="H683" s="2">
        <v>0</v>
      </c>
      <c r="I683" s="1">
        <v>0</v>
      </c>
      <c r="J683" s="3" t="s">
        <v>447</v>
      </c>
      <c r="K683" s="2" t="str">
        <f>J683*13.68</f>
        <v>0</v>
      </c>
      <c r="L683" s="5"/>
    </row>
    <row r="684" spans="1:12" customHeight="1" ht="105" outlineLevel="4">
      <c r="A684" s="1"/>
      <c r="B684" s="1">
        <v>930447</v>
      </c>
      <c r="C684" s="1" t="s">
        <v>2054</v>
      </c>
      <c r="D684" s="1"/>
      <c r="E684" s="2" t="s">
        <v>2055</v>
      </c>
      <c r="F684" s="2" t="s">
        <v>1177</v>
      </c>
      <c r="G684" s="2">
        <v>0</v>
      </c>
      <c r="H684" s="2">
        <v>0</v>
      </c>
      <c r="I684" s="1">
        <v>0</v>
      </c>
      <c r="J684" s="3" t="s">
        <v>447</v>
      </c>
      <c r="K684" s="2" t="str">
        <f>J684*17.10</f>
        <v>0</v>
      </c>
      <c r="L684" s="5"/>
    </row>
    <row r="685" spans="1:12" customHeight="1" ht="105" outlineLevel="4">
      <c r="A685" s="1"/>
      <c r="B685" s="1">
        <v>930448</v>
      </c>
      <c r="C685" s="1" t="s">
        <v>2056</v>
      </c>
      <c r="D685" s="1"/>
      <c r="E685" s="2" t="s">
        <v>2057</v>
      </c>
      <c r="F685" s="2" t="s">
        <v>2058</v>
      </c>
      <c r="G685" s="2" t="s">
        <v>180</v>
      </c>
      <c r="H685" s="2">
        <v>0</v>
      </c>
      <c r="I685" s="1">
        <v>0</v>
      </c>
      <c r="J685" s="3" t="s">
        <v>447</v>
      </c>
      <c r="K685" s="2" t="str">
        <f>J685*8.55</f>
        <v>0</v>
      </c>
      <c r="L685" s="5"/>
    </row>
    <row r="686" spans="1:12" customHeight="1" ht="105" outlineLevel="4">
      <c r="A686" s="1"/>
      <c r="B686" s="1">
        <v>930449</v>
      </c>
      <c r="C686" s="1" t="s">
        <v>2059</v>
      </c>
      <c r="D686" s="1"/>
      <c r="E686" s="2" t="s">
        <v>2060</v>
      </c>
      <c r="F686" s="2" t="s">
        <v>2053</v>
      </c>
      <c r="G686" s="2" t="s">
        <v>136</v>
      </c>
      <c r="H686" s="2">
        <v>0</v>
      </c>
      <c r="I686" s="1">
        <v>0</v>
      </c>
      <c r="J686" s="3" t="s">
        <v>447</v>
      </c>
      <c r="K686" s="2" t="str">
        <f>J686*13.68</f>
        <v>0</v>
      </c>
      <c r="L686" s="5"/>
    </row>
    <row r="687" spans="1:12" customHeight="1" ht="105" outlineLevel="4">
      <c r="A687" s="1"/>
      <c r="B687" s="1">
        <v>930450</v>
      </c>
      <c r="C687" s="1" t="s">
        <v>2061</v>
      </c>
      <c r="D687" s="1"/>
      <c r="E687" s="2" t="s">
        <v>2062</v>
      </c>
      <c r="F687" s="2" t="s">
        <v>2063</v>
      </c>
      <c r="G687" s="2" t="s">
        <v>58</v>
      </c>
      <c r="H687" s="2">
        <v>0</v>
      </c>
      <c r="I687" s="1">
        <v>0</v>
      </c>
      <c r="J687" s="3" t="s">
        <v>447</v>
      </c>
      <c r="K687" s="2" t="str">
        <f>J687*22.23</f>
        <v>0</v>
      </c>
      <c r="L687" s="5"/>
    </row>
    <row r="688" spans="1:12" customHeight="1" ht="105" outlineLevel="4">
      <c r="A688" s="1"/>
      <c r="B688" s="1">
        <v>930451</v>
      </c>
      <c r="C688" s="1" t="s">
        <v>2064</v>
      </c>
      <c r="D688" s="1"/>
      <c r="E688" s="2" t="s">
        <v>2065</v>
      </c>
      <c r="F688" s="2" t="s">
        <v>2066</v>
      </c>
      <c r="G688" s="2" t="s">
        <v>58</v>
      </c>
      <c r="H688" s="2">
        <v>0</v>
      </c>
      <c r="I688" s="1">
        <v>0</v>
      </c>
      <c r="J688" s="3" t="s">
        <v>447</v>
      </c>
      <c r="K688" s="2" t="str">
        <f>J688*44.46</f>
        <v>0</v>
      </c>
      <c r="L688" s="5"/>
    </row>
    <row r="689" spans="1:12" customHeight="1" ht="105" outlineLevel="4">
      <c r="A689" s="1"/>
      <c r="B689" s="1">
        <v>930452</v>
      </c>
      <c r="C689" s="1" t="s">
        <v>2067</v>
      </c>
      <c r="D689" s="1"/>
      <c r="E689" s="2" t="s">
        <v>2068</v>
      </c>
      <c r="F689" s="2" t="s">
        <v>2069</v>
      </c>
      <c r="G689" s="2" t="s">
        <v>74</v>
      </c>
      <c r="H689" s="2">
        <v>0</v>
      </c>
      <c r="I689" s="1">
        <v>0</v>
      </c>
      <c r="J689" s="3" t="s">
        <v>447</v>
      </c>
      <c r="K689" s="2" t="str">
        <f>J689*64.98</f>
        <v>0</v>
      </c>
      <c r="L689" s="5"/>
    </row>
    <row r="690" spans="1:12" customHeight="1" ht="105" outlineLevel="4">
      <c r="A690" s="1"/>
      <c r="B690" s="1">
        <v>930453</v>
      </c>
      <c r="C690" s="1" t="s">
        <v>2070</v>
      </c>
      <c r="D690" s="1"/>
      <c r="E690" s="2" t="s">
        <v>2071</v>
      </c>
      <c r="F690" s="2" t="s">
        <v>2072</v>
      </c>
      <c r="G690" s="2" t="s">
        <v>152</v>
      </c>
      <c r="H690" s="2">
        <v>0</v>
      </c>
      <c r="I690" s="1">
        <v>0</v>
      </c>
      <c r="J690" s="3" t="s">
        <v>447</v>
      </c>
      <c r="K690" s="2" t="str">
        <f>J690*106.02</f>
        <v>0</v>
      </c>
      <c r="L690" s="5"/>
    </row>
    <row r="691" spans="1:12" customHeight="1" ht="105" outlineLevel="4">
      <c r="A691" s="1"/>
      <c r="B691" s="1">
        <v>930454</v>
      </c>
      <c r="C691" s="1" t="s">
        <v>2073</v>
      </c>
      <c r="D691" s="1"/>
      <c r="E691" s="2" t="s">
        <v>2074</v>
      </c>
      <c r="F691" s="2" t="s">
        <v>2075</v>
      </c>
      <c r="G691" s="2">
        <v>0</v>
      </c>
      <c r="H691" s="2">
        <v>0</v>
      </c>
      <c r="I691" s="1">
        <v>0</v>
      </c>
      <c r="J691" s="3" t="s">
        <v>447</v>
      </c>
      <c r="K691" s="2" t="str">
        <f>J691*237.69</f>
        <v>0</v>
      </c>
      <c r="L691" s="5"/>
    </row>
    <row r="692" spans="1:12" customHeight="1" ht="105" outlineLevel="4">
      <c r="A692" s="1"/>
      <c r="B692" s="1">
        <v>930455</v>
      </c>
      <c r="C692" s="1" t="s">
        <v>2076</v>
      </c>
      <c r="D692" s="1"/>
      <c r="E692" s="2" t="s">
        <v>2077</v>
      </c>
      <c r="F692" s="2" t="s">
        <v>2078</v>
      </c>
      <c r="G692" s="2">
        <v>0</v>
      </c>
      <c r="H692" s="2">
        <v>0</v>
      </c>
      <c r="I692" s="1">
        <v>0</v>
      </c>
      <c r="J692" s="3" t="s">
        <v>447</v>
      </c>
      <c r="K692" s="2" t="str">
        <f>J692*420.66</f>
        <v>0</v>
      </c>
      <c r="L692" s="5"/>
    </row>
    <row r="693" spans="1:12" customHeight="1" ht="105" outlineLevel="4">
      <c r="A693" s="1"/>
      <c r="B693" s="1">
        <v>930456</v>
      </c>
      <c r="C693" s="1" t="s">
        <v>2079</v>
      </c>
      <c r="D693" s="1"/>
      <c r="E693" s="2" t="s">
        <v>2080</v>
      </c>
      <c r="F693" s="2" t="s">
        <v>2081</v>
      </c>
      <c r="G693" s="2">
        <v>0</v>
      </c>
      <c r="H693" s="2">
        <v>0</v>
      </c>
      <c r="I693" s="1">
        <v>0</v>
      </c>
      <c r="J693" s="3" t="s">
        <v>447</v>
      </c>
      <c r="K693" s="2" t="str">
        <f>J693*636.12</f>
        <v>0</v>
      </c>
      <c r="L693" s="5"/>
    </row>
    <row r="694" spans="1:12" customHeight="1" ht="105" outlineLevel="4">
      <c r="A694" s="1"/>
      <c r="B694" s="1">
        <v>930457</v>
      </c>
      <c r="C694" s="1" t="s">
        <v>2082</v>
      </c>
      <c r="D694" s="1"/>
      <c r="E694" s="2" t="s">
        <v>2083</v>
      </c>
      <c r="F694" s="2" t="s">
        <v>1947</v>
      </c>
      <c r="G694" s="2" t="s">
        <v>58</v>
      </c>
      <c r="H694" s="2">
        <v>0</v>
      </c>
      <c r="I694" s="1">
        <v>0</v>
      </c>
      <c r="J694" s="3" t="s">
        <v>447</v>
      </c>
      <c r="K694" s="2" t="str">
        <f>J694*11.97</f>
        <v>0</v>
      </c>
      <c r="L694" s="5"/>
    </row>
    <row r="695" spans="1:12" customHeight="1" ht="105" outlineLevel="4">
      <c r="A695" s="1"/>
      <c r="B695" s="1">
        <v>930458</v>
      </c>
      <c r="C695" s="1" t="s">
        <v>2084</v>
      </c>
      <c r="D695" s="1"/>
      <c r="E695" s="2" t="s">
        <v>2085</v>
      </c>
      <c r="F695" s="2" t="s">
        <v>1177</v>
      </c>
      <c r="G695" s="2" t="s">
        <v>58</v>
      </c>
      <c r="H695" s="2">
        <v>0</v>
      </c>
      <c r="I695" s="1">
        <v>0</v>
      </c>
      <c r="J695" s="3" t="s">
        <v>447</v>
      </c>
      <c r="K695" s="2" t="str">
        <f>J695*17.10</f>
        <v>0</v>
      </c>
      <c r="L695" s="5"/>
    </row>
    <row r="696" spans="1:12" customHeight="1" ht="105" outlineLevel="4">
      <c r="A696" s="1"/>
      <c r="B696" s="1">
        <v>930459</v>
      </c>
      <c r="C696" s="1" t="s">
        <v>2086</v>
      </c>
      <c r="D696" s="1"/>
      <c r="E696" s="2" t="s">
        <v>2087</v>
      </c>
      <c r="F696" s="2" t="s">
        <v>2021</v>
      </c>
      <c r="G696" s="2" t="s">
        <v>58</v>
      </c>
      <c r="H696" s="2">
        <v>0</v>
      </c>
      <c r="I696" s="1">
        <v>0</v>
      </c>
      <c r="J696" s="3" t="s">
        <v>447</v>
      </c>
      <c r="K696" s="2" t="str">
        <f>J696*18.81</f>
        <v>0</v>
      </c>
      <c r="L696" s="5"/>
    </row>
    <row r="697" spans="1:12" customHeight="1" ht="105" outlineLevel="4">
      <c r="A697" s="1"/>
      <c r="B697" s="1">
        <v>930460</v>
      </c>
      <c r="C697" s="1" t="s">
        <v>2088</v>
      </c>
      <c r="D697" s="1"/>
      <c r="E697" s="2" t="s">
        <v>2089</v>
      </c>
      <c r="F697" s="2" t="s">
        <v>2090</v>
      </c>
      <c r="G697" s="2">
        <v>0</v>
      </c>
      <c r="H697" s="2">
        <v>0</v>
      </c>
      <c r="I697" s="1">
        <v>0</v>
      </c>
      <c r="J697" s="3" t="s">
        <v>447</v>
      </c>
      <c r="K697" s="2" t="str">
        <f>J697*30.78</f>
        <v>0</v>
      </c>
      <c r="L697" s="5"/>
    </row>
    <row r="698" spans="1:12" customHeight="1" ht="105" outlineLevel="4">
      <c r="A698" s="1"/>
      <c r="B698" s="1">
        <v>930461</v>
      </c>
      <c r="C698" s="1" t="s">
        <v>2091</v>
      </c>
      <c r="D698" s="1"/>
      <c r="E698" s="2" t="s">
        <v>2092</v>
      </c>
      <c r="F698" s="2" t="s">
        <v>1953</v>
      </c>
      <c r="G698" s="2" t="s">
        <v>58</v>
      </c>
      <c r="H698" s="2">
        <v>0</v>
      </c>
      <c r="I698" s="1">
        <v>0</v>
      </c>
      <c r="J698" s="3" t="s">
        <v>447</v>
      </c>
      <c r="K698" s="2" t="str">
        <f>J698*29.07</f>
        <v>0</v>
      </c>
      <c r="L698" s="5"/>
    </row>
    <row r="699" spans="1:12" customHeight="1" ht="105" outlineLevel="4">
      <c r="A699" s="1"/>
      <c r="B699" s="1">
        <v>930462</v>
      </c>
      <c r="C699" s="1" t="s">
        <v>2093</v>
      </c>
      <c r="D699" s="1"/>
      <c r="E699" s="2" t="s">
        <v>2094</v>
      </c>
      <c r="F699" s="2" t="s">
        <v>2095</v>
      </c>
      <c r="G699" s="2" t="s">
        <v>58</v>
      </c>
      <c r="H699" s="2">
        <v>0</v>
      </c>
      <c r="I699" s="1">
        <v>0</v>
      </c>
      <c r="J699" s="3" t="s">
        <v>447</v>
      </c>
      <c r="K699" s="2" t="str">
        <f>J699*37.62</f>
        <v>0</v>
      </c>
      <c r="L699" s="5"/>
    </row>
    <row r="700" spans="1:12" customHeight="1" ht="105" outlineLevel="4">
      <c r="A700" s="1"/>
      <c r="B700" s="1">
        <v>930463</v>
      </c>
      <c r="C700" s="1" t="s">
        <v>2096</v>
      </c>
      <c r="D700" s="1"/>
      <c r="E700" s="2" t="s">
        <v>2097</v>
      </c>
      <c r="F700" s="2" t="s">
        <v>1578</v>
      </c>
      <c r="G700" s="2">
        <v>0</v>
      </c>
      <c r="H700" s="2">
        <v>0</v>
      </c>
      <c r="I700" s="1">
        <v>0</v>
      </c>
      <c r="J700" s="3" t="s">
        <v>447</v>
      </c>
      <c r="K700" s="2" t="str">
        <f>J700*5.13</f>
        <v>0</v>
      </c>
      <c r="L700" s="5"/>
    </row>
    <row r="701" spans="1:12" customHeight="1" ht="105" outlineLevel="4">
      <c r="A701" s="1"/>
      <c r="B701" s="1">
        <v>930464</v>
      </c>
      <c r="C701" s="1" t="s">
        <v>2098</v>
      </c>
      <c r="D701" s="1"/>
      <c r="E701" s="2" t="s">
        <v>2099</v>
      </c>
      <c r="F701" s="2" t="s">
        <v>1944</v>
      </c>
      <c r="G701" s="2">
        <v>0</v>
      </c>
      <c r="H701" s="2">
        <v>0</v>
      </c>
      <c r="I701" s="1">
        <v>0</v>
      </c>
      <c r="J701" s="3" t="s">
        <v>447</v>
      </c>
      <c r="K701" s="2" t="str">
        <f>J701*6.84</f>
        <v>0</v>
      </c>
      <c r="L701" s="5"/>
    </row>
    <row r="702" spans="1:12" customHeight="1" ht="105" outlineLevel="4">
      <c r="A702" s="1"/>
      <c r="B702" s="1">
        <v>930465</v>
      </c>
      <c r="C702" s="1" t="s">
        <v>2100</v>
      </c>
      <c r="D702" s="1"/>
      <c r="E702" s="2" t="s">
        <v>2101</v>
      </c>
      <c r="F702" s="2" t="s">
        <v>1947</v>
      </c>
      <c r="G702" s="2">
        <v>0</v>
      </c>
      <c r="H702" s="2">
        <v>0</v>
      </c>
      <c r="I702" s="1">
        <v>0</v>
      </c>
      <c r="J702" s="3" t="s">
        <v>447</v>
      </c>
      <c r="K702" s="2" t="str">
        <f>J702*11.97</f>
        <v>0</v>
      </c>
      <c r="L702" s="5"/>
    </row>
    <row r="703" spans="1:12" customHeight="1" ht="105" outlineLevel="4">
      <c r="A703" s="1"/>
      <c r="B703" s="1">
        <v>930466</v>
      </c>
      <c r="C703" s="1" t="s">
        <v>2102</v>
      </c>
      <c r="D703" s="1"/>
      <c r="E703" s="2" t="s">
        <v>2103</v>
      </c>
      <c r="F703" s="2" t="s">
        <v>2058</v>
      </c>
      <c r="G703" s="2">
        <v>0</v>
      </c>
      <c r="H703" s="2">
        <v>0</v>
      </c>
      <c r="I703" s="1">
        <v>0</v>
      </c>
      <c r="J703" s="3" t="s">
        <v>447</v>
      </c>
      <c r="K703" s="2" t="str">
        <f>J703*8.55</f>
        <v>0</v>
      </c>
      <c r="L703" s="5"/>
    </row>
    <row r="704" spans="1:12" customHeight="1" ht="105" outlineLevel="4">
      <c r="A704" s="1"/>
      <c r="B704" s="1">
        <v>930467</v>
      </c>
      <c r="C704" s="1" t="s">
        <v>2104</v>
      </c>
      <c r="D704" s="1"/>
      <c r="E704" s="2" t="s">
        <v>2105</v>
      </c>
      <c r="F704" s="2" t="s">
        <v>2106</v>
      </c>
      <c r="G704" s="2">
        <v>0</v>
      </c>
      <c r="H704" s="2">
        <v>0</v>
      </c>
      <c r="I704" s="1">
        <v>0</v>
      </c>
      <c r="J704" s="3" t="s">
        <v>447</v>
      </c>
      <c r="K704" s="2" t="str">
        <f>J704*15.39</f>
        <v>0</v>
      </c>
      <c r="L704" s="5"/>
    </row>
    <row r="705" spans="1:12" customHeight="1" ht="105" outlineLevel="4">
      <c r="A705" s="1"/>
      <c r="B705" s="1">
        <v>930468</v>
      </c>
      <c r="C705" s="1" t="s">
        <v>2107</v>
      </c>
      <c r="D705" s="1"/>
      <c r="E705" s="2" t="s">
        <v>2108</v>
      </c>
      <c r="F705" s="2" t="s">
        <v>2109</v>
      </c>
      <c r="G705" s="2">
        <v>0</v>
      </c>
      <c r="H705" s="2">
        <v>0</v>
      </c>
      <c r="I705" s="1">
        <v>0</v>
      </c>
      <c r="J705" s="3" t="s">
        <v>447</v>
      </c>
      <c r="K705" s="2" t="str">
        <f>J705*3.42</f>
        <v>0</v>
      </c>
      <c r="L705" s="5"/>
    </row>
    <row r="706" spans="1:12" customHeight="1" ht="105" outlineLevel="4">
      <c r="A706" s="1"/>
      <c r="B706" s="1">
        <v>930469</v>
      </c>
      <c r="C706" s="1" t="s">
        <v>2110</v>
      </c>
      <c r="D706" s="1"/>
      <c r="E706" s="2" t="s">
        <v>2111</v>
      </c>
      <c r="F706" s="2" t="s">
        <v>1578</v>
      </c>
      <c r="G706" s="2">
        <v>0</v>
      </c>
      <c r="H706" s="2">
        <v>0</v>
      </c>
      <c r="I706" s="1">
        <v>0</v>
      </c>
      <c r="J706" s="3" t="s">
        <v>447</v>
      </c>
      <c r="K706" s="2" t="str">
        <f>J706*5.13</f>
        <v>0</v>
      </c>
      <c r="L706" s="5"/>
    </row>
    <row r="707" spans="1:12" customHeight="1" ht="105" outlineLevel="4">
      <c r="A707" s="1"/>
      <c r="B707" s="1">
        <v>930470</v>
      </c>
      <c r="C707" s="1" t="s">
        <v>2112</v>
      </c>
      <c r="D707" s="1"/>
      <c r="E707" s="2" t="s">
        <v>2113</v>
      </c>
      <c r="F707" s="2" t="s">
        <v>1578</v>
      </c>
      <c r="G707" s="2">
        <v>0</v>
      </c>
      <c r="H707" s="2">
        <v>0</v>
      </c>
      <c r="I707" s="1">
        <v>0</v>
      </c>
      <c r="J707" s="3" t="s">
        <v>447</v>
      </c>
      <c r="K707" s="2" t="str">
        <f>J707*5.13</f>
        <v>0</v>
      </c>
      <c r="L707" s="5"/>
    </row>
    <row r="708" spans="1:12" customHeight="1" ht="105" outlineLevel="4">
      <c r="A708" s="1"/>
      <c r="B708" s="1">
        <v>930471</v>
      </c>
      <c r="C708" s="1" t="s">
        <v>2114</v>
      </c>
      <c r="D708" s="1"/>
      <c r="E708" s="2" t="s">
        <v>2115</v>
      </c>
      <c r="F708" s="2" t="s">
        <v>1944</v>
      </c>
      <c r="G708" s="2">
        <v>0</v>
      </c>
      <c r="H708" s="2">
        <v>0</v>
      </c>
      <c r="I708" s="1">
        <v>0</v>
      </c>
      <c r="J708" s="3" t="s">
        <v>447</v>
      </c>
      <c r="K708" s="2" t="str">
        <f>J708*6.84</f>
        <v>0</v>
      </c>
      <c r="L708" s="5"/>
    </row>
    <row r="709" spans="1:12" customHeight="1" ht="105" outlineLevel="4">
      <c r="A709" s="1"/>
      <c r="B709" s="1">
        <v>930472</v>
      </c>
      <c r="C709" s="1" t="s">
        <v>2116</v>
      </c>
      <c r="D709" s="1"/>
      <c r="E709" s="2" t="s">
        <v>2117</v>
      </c>
      <c r="F709" s="2" t="s">
        <v>2095</v>
      </c>
      <c r="G709" s="2">
        <v>0</v>
      </c>
      <c r="H709" s="2">
        <v>0</v>
      </c>
      <c r="I709" s="1">
        <v>0</v>
      </c>
      <c r="J709" s="3" t="s">
        <v>447</v>
      </c>
      <c r="K709" s="2" t="str">
        <f>J709*37.62</f>
        <v>0</v>
      </c>
      <c r="L709" s="5"/>
    </row>
    <row r="710" spans="1:12" customHeight="1" ht="105" outlineLevel="4">
      <c r="A710" s="1"/>
      <c r="B710" s="1">
        <v>930473</v>
      </c>
      <c r="C710" s="1" t="s">
        <v>2118</v>
      </c>
      <c r="D710" s="1"/>
      <c r="E710" s="2" t="s">
        <v>2119</v>
      </c>
      <c r="F710" s="2" t="s">
        <v>1987</v>
      </c>
      <c r="G710" s="2">
        <v>0</v>
      </c>
      <c r="H710" s="2">
        <v>0</v>
      </c>
      <c r="I710" s="1">
        <v>0</v>
      </c>
      <c r="J710" s="3" t="s">
        <v>447</v>
      </c>
      <c r="K710" s="2" t="str">
        <f>J710*39.33</f>
        <v>0</v>
      </c>
      <c r="L710" s="5"/>
    </row>
    <row r="711" spans="1:12" customHeight="1" ht="105" outlineLevel="4">
      <c r="A711" s="1"/>
      <c r="B711" s="1">
        <v>930474</v>
      </c>
      <c r="C711" s="1" t="s">
        <v>2120</v>
      </c>
      <c r="D711" s="1"/>
      <c r="E711" s="2" t="s">
        <v>2121</v>
      </c>
      <c r="F711" s="2" t="s">
        <v>2039</v>
      </c>
      <c r="G711" s="2">
        <v>0</v>
      </c>
      <c r="H711" s="2">
        <v>0</v>
      </c>
      <c r="I711" s="1">
        <v>0</v>
      </c>
      <c r="J711" s="3" t="s">
        <v>447</v>
      </c>
      <c r="K711" s="2" t="str">
        <f>J711*54.72</f>
        <v>0</v>
      </c>
      <c r="L711" s="5"/>
    </row>
    <row r="712" spans="1:12" customHeight="1" ht="105" outlineLevel="4">
      <c r="A712" s="1"/>
      <c r="B712" s="1">
        <v>930475</v>
      </c>
      <c r="C712" s="1" t="s">
        <v>2122</v>
      </c>
      <c r="D712" s="1"/>
      <c r="E712" s="2" t="s">
        <v>2123</v>
      </c>
      <c r="F712" s="2" t="s">
        <v>1987</v>
      </c>
      <c r="G712" s="2" t="s">
        <v>136</v>
      </c>
      <c r="H712" s="2">
        <v>0</v>
      </c>
      <c r="I712" s="1">
        <v>0</v>
      </c>
      <c r="J712" s="3" t="s">
        <v>447</v>
      </c>
      <c r="K712" s="2" t="str">
        <f>J712*39.33</f>
        <v>0</v>
      </c>
      <c r="L712" s="5"/>
    </row>
    <row r="713" spans="1:12" customHeight="1" ht="105" outlineLevel="4">
      <c r="A713" s="1"/>
      <c r="B713" s="1">
        <v>930476</v>
      </c>
      <c r="C713" s="1" t="s">
        <v>2124</v>
      </c>
      <c r="D713" s="1"/>
      <c r="E713" s="2" t="s">
        <v>2125</v>
      </c>
      <c r="F713" s="2" t="s">
        <v>1993</v>
      </c>
      <c r="G713" s="2">
        <v>0</v>
      </c>
      <c r="H713" s="2">
        <v>0</v>
      </c>
      <c r="I713" s="1">
        <v>0</v>
      </c>
      <c r="J713" s="3" t="s">
        <v>447</v>
      </c>
      <c r="K713" s="2" t="str">
        <f>J713*70.11</f>
        <v>0</v>
      </c>
      <c r="L713" s="5"/>
    </row>
    <row r="714" spans="1:12" customHeight="1" ht="105" outlineLevel="4">
      <c r="A714" s="1"/>
      <c r="B714" s="1">
        <v>930477</v>
      </c>
      <c r="C714" s="1" t="s">
        <v>2126</v>
      </c>
      <c r="D714" s="1"/>
      <c r="E714" s="2" t="s">
        <v>2127</v>
      </c>
      <c r="F714" s="2" t="s">
        <v>1591</v>
      </c>
      <c r="G714" s="2" t="s">
        <v>58</v>
      </c>
      <c r="H714" s="2">
        <v>0</v>
      </c>
      <c r="I714" s="1">
        <v>0</v>
      </c>
      <c r="J714" s="3" t="s">
        <v>447</v>
      </c>
      <c r="K714" s="2" t="str">
        <f>J714*47.88</f>
        <v>0</v>
      </c>
      <c r="L714" s="5"/>
    </row>
    <row r="715" spans="1:12" customHeight="1" ht="105" outlineLevel="4">
      <c r="A715" s="1"/>
      <c r="B715" s="1">
        <v>930478</v>
      </c>
      <c r="C715" s="1" t="s">
        <v>2128</v>
      </c>
      <c r="D715" s="1"/>
      <c r="E715" s="2" t="s">
        <v>2129</v>
      </c>
      <c r="F715" s="2" t="s">
        <v>2069</v>
      </c>
      <c r="G715" s="2" t="s">
        <v>58</v>
      </c>
      <c r="H715" s="2">
        <v>0</v>
      </c>
      <c r="I715" s="1">
        <v>0</v>
      </c>
      <c r="J715" s="3" t="s">
        <v>447</v>
      </c>
      <c r="K715" s="2" t="str">
        <f>J715*64.98</f>
        <v>0</v>
      </c>
      <c r="L715" s="5"/>
    </row>
    <row r="716" spans="1:12" customHeight="1" ht="105" outlineLevel="4">
      <c r="A716" s="1"/>
      <c r="B716" s="1">
        <v>930479</v>
      </c>
      <c r="C716" s="1" t="s">
        <v>2130</v>
      </c>
      <c r="D716" s="1"/>
      <c r="E716" s="2" t="s">
        <v>2131</v>
      </c>
      <c r="F716" s="2" t="s">
        <v>2132</v>
      </c>
      <c r="G716" s="2">
        <v>0</v>
      </c>
      <c r="H716" s="2">
        <v>0</v>
      </c>
      <c r="I716" s="1">
        <v>0</v>
      </c>
      <c r="J716" s="3" t="s">
        <v>447</v>
      </c>
      <c r="K716" s="2" t="str">
        <f>J716*53.01</f>
        <v>0</v>
      </c>
      <c r="L716" s="5"/>
    </row>
    <row r="717" spans="1:12" customHeight="1" ht="105" outlineLevel="4">
      <c r="A717" s="1"/>
      <c r="B717" s="1">
        <v>930480</v>
      </c>
      <c r="C717" s="1" t="s">
        <v>2133</v>
      </c>
      <c r="D717" s="1"/>
      <c r="E717" s="2" t="s">
        <v>2134</v>
      </c>
      <c r="F717" s="2" t="s">
        <v>2135</v>
      </c>
      <c r="G717" s="2" t="s">
        <v>74</v>
      </c>
      <c r="H717" s="2">
        <v>0</v>
      </c>
      <c r="I717" s="1">
        <v>0</v>
      </c>
      <c r="J717" s="3" t="s">
        <v>447</v>
      </c>
      <c r="K717" s="2" t="str">
        <f>J717*75.24</f>
        <v>0</v>
      </c>
      <c r="L717" s="5"/>
    </row>
    <row r="718" spans="1:12" customHeight="1" ht="105" outlineLevel="4">
      <c r="A718" s="1"/>
      <c r="B718" s="1">
        <v>930481</v>
      </c>
      <c r="C718" s="1" t="s">
        <v>2136</v>
      </c>
      <c r="D718" s="1"/>
      <c r="E718" s="2" t="s">
        <v>2137</v>
      </c>
      <c r="F718" s="2" t="s">
        <v>2138</v>
      </c>
      <c r="G718" s="2" t="s">
        <v>74</v>
      </c>
      <c r="H718" s="2">
        <v>0</v>
      </c>
      <c r="I718" s="1">
        <v>0</v>
      </c>
      <c r="J718" s="3" t="s">
        <v>447</v>
      </c>
      <c r="K718" s="2" t="str">
        <f>J718*117.99</f>
        <v>0</v>
      </c>
      <c r="L718" s="5"/>
    </row>
    <row r="719" spans="1:12" customHeight="1" ht="105" outlineLevel="4">
      <c r="A719" s="1"/>
      <c r="B719" s="1">
        <v>930482</v>
      </c>
      <c r="C719" s="1" t="s">
        <v>2139</v>
      </c>
      <c r="D719" s="1"/>
      <c r="E719" s="2" t="s">
        <v>2140</v>
      </c>
      <c r="F719" s="2" t="s">
        <v>2004</v>
      </c>
      <c r="G719" s="2">
        <v>0</v>
      </c>
      <c r="H719" s="2">
        <v>0</v>
      </c>
      <c r="I719" s="1">
        <v>0</v>
      </c>
      <c r="J719" s="3" t="s">
        <v>447</v>
      </c>
      <c r="K719" s="2" t="str">
        <f>J719*136.80</f>
        <v>0</v>
      </c>
      <c r="L719" s="5"/>
    </row>
    <row r="720" spans="1:12" customHeight="1" ht="105" outlineLevel="4">
      <c r="A720" s="1"/>
      <c r="B720" s="1">
        <v>930483</v>
      </c>
      <c r="C720" s="1" t="s">
        <v>2141</v>
      </c>
      <c r="D720" s="1"/>
      <c r="E720" s="2" t="s">
        <v>2142</v>
      </c>
      <c r="F720" s="2" t="s">
        <v>2143</v>
      </c>
      <c r="G720" s="2">
        <v>0</v>
      </c>
      <c r="H720" s="2">
        <v>0</v>
      </c>
      <c r="I720" s="1">
        <v>0</v>
      </c>
      <c r="J720" s="3" t="s">
        <v>447</v>
      </c>
      <c r="K720" s="2" t="str">
        <f>J720*249.66</f>
        <v>0</v>
      </c>
      <c r="L720" s="5"/>
    </row>
    <row r="721" spans="1:12" customHeight="1" ht="105" outlineLevel="4">
      <c r="A721" s="1"/>
      <c r="B721" s="1">
        <v>930484</v>
      </c>
      <c r="C721" s="1" t="s">
        <v>2144</v>
      </c>
      <c r="D721" s="1"/>
      <c r="E721" s="2" t="s">
        <v>2145</v>
      </c>
      <c r="F721" s="2" t="s">
        <v>2146</v>
      </c>
      <c r="G721" s="2">
        <v>0</v>
      </c>
      <c r="H721" s="2">
        <v>0</v>
      </c>
      <c r="I721" s="1">
        <v>0</v>
      </c>
      <c r="J721" s="3" t="s">
        <v>447</v>
      </c>
      <c r="K721" s="2" t="str">
        <f>J721*311.22</f>
        <v>0</v>
      </c>
      <c r="L721" s="5"/>
    </row>
    <row r="722" spans="1:12" customHeight="1" ht="105" outlineLevel="4">
      <c r="A722" s="1"/>
      <c r="B722" s="1">
        <v>930485</v>
      </c>
      <c r="C722" s="1" t="s">
        <v>2147</v>
      </c>
      <c r="D722" s="1"/>
      <c r="E722" s="2" t="s">
        <v>2148</v>
      </c>
      <c r="F722" s="2" t="s">
        <v>2149</v>
      </c>
      <c r="G722" s="2">
        <v>0</v>
      </c>
      <c r="H722" s="2">
        <v>0</v>
      </c>
      <c r="I722" s="1">
        <v>0</v>
      </c>
      <c r="J722" s="3" t="s">
        <v>447</v>
      </c>
      <c r="K722" s="2" t="str">
        <f>J722*495.90</f>
        <v>0</v>
      </c>
      <c r="L722" s="5"/>
    </row>
    <row r="723" spans="1:12" customHeight="1" ht="105" outlineLevel="4">
      <c r="A723" s="1"/>
      <c r="B723" s="1">
        <v>930486</v>
      </c>
      <c r="C723" s="1" t="s">
        <v>2150</v>
      </c>
      <c r="D723" s="1"/>
      <c r="E723" s="2" t="s">
        <v>2151</v>
      </c>
      <c r="F723" s="2" t="s">
        <v>2095</v>
      </c>
      <c r="G723" s="2" t="s">
        <v>58</v>
      </c>
      <c r="H723" s="2">
        <v>0</v>
      </c>
      <c r="I723" s="1">
        <v>0</v>
      </c>
      <c r="J723" s="3" t="s">
        <v>447</v>
      </c>
      <c r="K723" s="2" t="str">
        <f>J723*37.62</f>
        <v>0</v>
      </c>
      <c r="L723" s="5"/>
    </row>
    <row r="724" spans="1:12" customHeight="1" ht="105" outlineLevel="4">
      <c r="A724" s="1"/>
      <c r="B724" s="1">
        <v>930487</v>
      </c>
      <c r="C724" s="1" t="s">
        <v>2152</v>
      </c>
      <c r="D724" s="1"/>
      <c r="E724" s="2" t="s">
        <v>2153</v>
      </c>
      <c r="F724" s="2" t="s">
        <v>2026</v>
      </c>
      <c r="G724" s="2">
        <v>0</v>
      </c>
      <c r="H724" s="2">
        <v>0</v>
      </c>
      <c r="I724" s="1">
        <v>0</v>
      </c>
      <c r="J724" s="3" t="s">
        <v>447</v>
      </c>
      <c r="K724" s="2" t="str">
        <f>J724*58.14</f>
        <v>0</v>
      </c>
      <c r="L724" s="5"/>
    </row>
    <row r="725" spans="1:12" customHeight="1" ht="105" outlineLevel="4">
      <c r="A725" s="1"/>
      <c r="B725" s="1">
        <v>930488</v>
      </c>
      <c r="C725" s="1" t="s">
        <v>2154</v>
      </c>
      <c r="D725" s="1"/>
      <c r="E725" s="2" t="s">
        <v>2155</v>
      </c>
      <c r="F725" s="2" t="s">
        <v>1987</v>
      </c>
      <c r="G725" s="2" t="s">
        <v>58</v>
      </c>
      <c r="H725" s="2">
        <v>0</v>
      </c>
      <c r="I725" s="1">
        <v>0</v>
      </c>
      <c r="J725" s="3" t="s">
        <v>447</v>
      </c>
      <c r="K725" s="2" t="str">
        <f>J725*39.33</f>
        <v>0</v>
      </c>
      <c r="L725" s="5"/>
    </row>
    <row r="726" spans="1:12" customHeight="1" ht="105" outlineLevel="4">
      <c r="A726" s="1"/>
      <c r="B726" s="1">
        <v>930489</v>
      </c>
      <c r="C726" s="1" t="s">
        <v>2156</v>
      </c>
      <c r="D726" s="1"/>
      <c r="E726" s="2" t="s">
        <v>2157</v>
      </c>
      <c r="F726" s="2" t="s">
        <v>2026</v>
      </c>
      <c r="G726" s="2" t="s">
        <v>58</v>
      </c>
      <c r="H726" s="2">
        <v>0</v>
      </c>
      <c r="I726" s="1">
        <v>0</v>
      </c>
      <c r="J726" s="3" t="s">
        <v>447</v>
      </c>
      <c r="K726" s="2" t="str">
        <f>J726*58.14</f>
        <v>0</v>
      </c>
      <c r="L726" s="5"/>
    </row>
    <row r="727" spans="1:12" customHeight="1" ht="105" outlineLevel="4">
      <c r="A727" s="1"/>
      <c r="B727" s="1">
        <v>930490</v>
      </c>
      <c r="C727" s="1" t="s">
        <v>2158</v>
      </c>
      <c r="D727" s="1"/>
      <c r="E727" s="2" t="s">
        <v>2159</v>
      </c>
      <c r="F727" s="2" t="s">
        <v>2066</v>
      </c>
      <c r="G727" s="2">
        <v>0</v>
      </c>
      <c r="H727" s="2">
        <v>0</v>
      </c>
      <c r="I727" s="1">
        <v>0</v>
      </c>
      <c r="J727" s="3" t="s">
        <v>447</v>
      </c>
      <c r="K727" s="2" t="str">
        <f>J727*44.46</f>
        <v>0</v>
      </c>
      <c r="L727" s="5"/>
    </row>
    <row r="728" spans="1:12" customHeight="1" ht="105" outlineLevel="4">
      <c r="A728" s="1"/>
      <c r="B728" s="1">
        <v>930491</v>
      </c>
      <c r="C728" s="1" t="s">
        <v>2160</v>
      </c>
      <c r="D728" s="1"/>
      <c r="E728" s="2" t="s">
        <v>2161</v>
      </c>
      <c r="F728" s="2" t="s">
        <v>1990</v>
      </c>
      <c r="G728" s="2" t="s">
        <v>58</v>
      </c>
      <c r="H728" s="2">
        <v>0</v>
      </c>
      <c r="I728" s="1">
        <v>0</v>
      </c>
      <c r="J728" s="3" t="s">
        <v>447</v>
      </c>
      <c r="K728" s="2" t="str">
        <f>J728*61.56</f>
        <v>0</v>
      </c>
      <c r="L728" s="5"/>
    </row>
    <row r="729" spans="1:12" customHeight="1" ht="105" outlineLevel="4">
      <c r="A729" s="1"/>
      <c r="B729" s="1">
        <v>930492</v>
      </c>
      <c r="C729" s="1" t="s">
        <v>2162</v>
      </c>
      <c r="D729" s="1"/>
      <c r="E729" s="2" t="s">
        <v>2163</v>
      </c>
      <c r="F729" s="2" t="s">
        <v>524</v>
      </c>
      <c r="G729" s="2" t="s">
        <v>58</v>
      </c>
      <c r="H729" s="2">
        <v>0</v>
      </c>
      <c r="I729" s="1">
        <v>0</v>
      </c>
      <c r="J729" s="3" t="s">
        <v>447</v>
      </c>
      <c r="K729" s="2" t="str">
        <f>J729*107.73</f>
        <v>0</v>
      </c>
      <c r="L729" s="5"/>
    </row>
    <row r="730" spans="1:12" customHeight="1" ht="105" outlineLevel="4">
      <c r="A730" s="1"/>
      <c r="B730" s="1">
        <v>930493</v>
      </c>
      <c r="C730" s="1" t="s">
        <v>2164</v>
      </c>
      <c r="D730" s="1"/>
      <c r="E730" s="2" t="s">
        <v>2165</v>
      </c>
      <c r="F730" s="2" t="s">
        <v>2004</v>
      </c>
      <c r="G730" s="2">
        <v>0</v>
      </c>
      <c r="H730" s="2">
        <v>0</v>
      </c>
      <c r="I730" s="1">
        <v>0</v>
      </c>
      <c r="J730" s="3" t="s">
        <v>447</v>
      </c>
      <c r="K730" s="2" t="str">
        <f>J730*136.80</f>
        <v>0</v>
      </c>
      <c r="L730" s="5"/>
    </row>
    <row r="731" spans="1:12" customHeight="1" ht="105" outlineLevel="4">
      <c r="A731" s="1"/>
      <c r="B731" s="1">
        <v>930494</v>
      </c>
      <c r="C731" s="1" t="s">
        <v>2166</v>
      </c>
      <c r="D731" s="1"/>
      <c r="E731" s="2" t="s">
        <v>2167</v>
      </c>
      <c r="F731" s="2" t="s">
        <v>2168</v>
      </c>
      <c r="G731" s="2">
        <v>0</v>
      </c>
      <c r="H731" s="2">
        <v>0</v>
      </c>
      <c r="I731" s="1">
        <v>0</v>
      </c>
      <c r="J731" s="3" t="s">
        <v>447</v>
      </c>
      <c r="K731" s="2" t="str">
        <f>J731*210.33</f>
        <v>0</v>
      </c>
      <c r="L731" s="5"/>
    </row>
    <row r="732" spans="1:12" customHeight="1" ht="105" outlineLevel="4">
      <c r="A732" s="1"/>
      <c r="B732" s="1">
        <v>930495</v>
      </c>
      <c r="C732" s="1" t="s">
        <v>2169</v>
      </c>
      <c r="D732" s="1"/>
      <c r="E732" s="2" t="s">
        <v>2170</v>
      </c>
      <c r="F732" s="2" t="s">
        <v>2171</v>
      </c>
      <c r="G732" s="2">
        <v>0</v>
      </c>
      <c r="H732" s="2">
        <v>0</v>
      </c>
      <c r="I732" s="1">
        <v>0</v>
      </c>
      <c r="J732" s="3" t="s">
        <v>447</v>
      </c>
      <c r="K732" s="2" t="str">
        <f>J732*263.34</f>
        <v>0</v>
      </c>
      <c r="L732" s="5"/>
    </row>
    <row r="733" spans="1:12" customHeight="1" ht="105" outlineLevel="4">
      <c r="A733" s="1"/>
      <c r="B733" s="1">
        <v>930496</v>
      </c>
      <c r="C733" s="1" t="s">
        <v>2172</v>
      </c>
      <c r="D733" s="1"/>
      <c r="E733" s="2" t="s">
        <v>2173</v>
      </c>
      <c r="F733" s="2" t="s">
        <v>2174</v>
      </c>
      <c r="G733" s="2">
        <v>0</v>
      </c>
      <c r="H733" s="2">
        <v>0</v>
      </c>
      <c r="I733" s="1">
        <v>0</v>
      </c>
      <c r="J733" s="3" t="s">
        <v>447</v>
      </c>
      <c r="K733" s="2" t="str">
        <f>J733*386.46</f>
        <v>0</v>
      </c>
      <c r="L733" s="5"/>
    </row>
    <row r="734" spans="1:12" customHeight="1" ht="105" outlineLevel="4">
      <c r="A734" s="1"/>
      <c r="B734" s="1">
        <v>930497</v>
      </c>
      <c r="C734" s="1" t="s">
        <v>2175</v>
      </c>
      <c r="D734" s="1"/>
      <c r="E734" s="2" t="s">
        <v>2176</v>
      </c>
      <c r="F734" s="2" t="s">
        <v>2177</v>
      </c>
      <c r="G734" s="2" t="s">
        <v>58</v>
      </c>
      <c r="H734" s="2">
        <v>0</v>
      </c>
      <c r="I734" s="1">
        <v>0</v>
      </c>
      <c r="J734" s="3" t="s">
        <v>447</v>
      </c>
      <c r="K734" s="2" t="str">
        <f>J734*51.30</f>
        <v>0</v>
      </c>
      <c r="L734" s="5"/>
    </row>
    <row r="735" spans="1:12" customHeight="1" ht="105" outlineLevel="4">
      <c r="A735" s="1"/>
      <c r="B735" s="1">
        <v>930498</v>
      </c>
      <c r="C735" s="1" t="s">
        <v>2178</v>
      </c>
      <c r="D735" s="1"/>
      <c r="E735" s="2" t="s">
        <v>2179</v>
      </c>
      <c r="F735" s="2" t="s">
        <v>2135</v>
      </c>
      <c r="G735" s="2">
        <v>0</v>
      </c>
      <c r="H735" s="2">
        <v>0</v>
      </c>
      <c r="I735" s="1">
        <v>0</v>
      </c>
      <c r="J735" s="3" t="s">
        <v>447</v>
      </c>
      <c r="K735" s="2" t="str">
        <f>J735*75.24</f>
        <v>0</v>
      </c>
      <c r="L735" s="5"/>
    </row>
    <row r="736" spans="1:12" customHeight="1" ht="105" outlineLevel="4">
      <c r="A736" s="1"/>
      <c r="B736" s="1">
        <v>930499</v>
      </c>
      <c r="C736" s="1" t="s">
        <v>2180</v>
      </c>
      <c r="D736" s="1"/>
      <c r="E736" s="2" t="s">
        <v>2181</v>
      </c>
      <c r="F736" s="2" t="s">
        <v>2026</v>
      </c>
      <c r="G736" s="2">
        <v>0</v>
      </c>
      <c r="H736" s="2">
        <v>0</v>
      </c>
      <c r="I736" s="1">
        <v>0</v>
      </c>
      <c r="J736" s="3" t="s">
        <v>447</v>
      </c>
      <c r="K736" s="2" t="str">
        <f>J736*58.14</f>
        <v>0</v>
      </c>
      <c r="L736" s="5"/>
    </row>
    <row r="737" spans="1:12" customHeight="1" ht="105" outlineLevel="4">
      <c r="A737" s="1"/>
      <c r="B737" s="1">
        <v>930500</v>
      </c>
      <c r="C737" s="1" t="s">
        <v>2182</v>
      </c>
      <c r="D737" s="1"/>
      <c r="E737" s="2" t="s">
        <v>2183</v>
      </c>
      <c r="F737" s="2" t="s">
        <v>2184</v>
      </c>
      <c r="G737" s="2">
        <v>0</v>
      </c>
      <c r="H737" s="2">
        <v>0</v>
      </c>
      <c r="I737" s="1">
        <v>0</v>
      </c>
      <c r="J737" s="3" t="s">
        <v>447</v>
      </c>
      <c r="K737" s="2" t="str">
        <f>J737*82.08</f>
        <v>0</v>
      </c>
      <c r="L737" s="5"/>
    </row>
    <row r="738" spans="1:12" customHeight="1" ht="105" outlineLevel="4">
      <c r="A738" s="1"/>
      <c r="B738" s="1">
        <v>930501</v>
      </c>
      <c r="C738" s="1" t="s">
        <v>2185</v>
      </c>
      <c r="D738" s="1"/>
      <c r="E738" s="2" t="s">
        <v>2186</v>
      </c>
      <c r="F738" s="2" t="s">
        <v>2069</v>
      </c>
      <c r="G738" s="2">
        <v>0</v>
      </c>
      <c r="H738" s="2">
        <v>0</v>
      </c>
      <c r="I738" s="1">
        <v>0</v>
      </c>
      <c r="J738" s="3" t="s">
        <v>447</v>
      </c>
      <c r="K738" s="2" t="str">
        <f>J738*64.98</f>
        <v>0</v>
      </c>
      <c r="L738" s="5"/>
    </row>
    <row r="739" spans="1:12" customHeight="1" ht="105" outlineLevel="4">
      <c r="A739" s="1"/>
      <c r="B739" s="1">
        <v>930502</v>
      </c>
      <c r="C739" s="1" t="s">
        <v>2187</v>
      </c>
      <c r="D739" s="1"/>
      <c r="E739" s="2" t="s">
        <v>2188</v>
      </c>
      <c r="F739" s="2" t="s">
        <v>1998</v>
      </c>
      <c r="G739" s="2">
        <v>0</v>
      </c>
      <c r="H739" s="2">
        <v>0</v>
      </c>
      <c r="I739" s="1">
        <v>0</v>
      </c>
      <c r="J739" s="3" t="s">
        <v>447</v>
      </c>
      <c r="K739" s="2" t="str">
        <f>J739*88.92</f>
        <v>0</v>
      </c>
      <c r="L739" s="5"/>
    </row>
    <row r="740" spans="1:12" customHeight="1" ht="105" outlineLevel="4">
      <c r="A740" s="1"/>
      <c r="B740" s="1">
        <v>930503</v>
      </c>
      <c r="C740" s="1" t="s">
        <v>2189</v>
      </c>
      <c r="D740" s="1"/>
      <c r="E740" s="2" t="s">
        <v>2190</v>
      </c>
      <c r="F740" s="2" t="s">
        <v>1846</v>
      </c>
      <c r="G740" s="2">
        <v>0</v>
      </c>
      <c r="H740" s="2">
        <v>0</v>
      </c>
      <c r="I740" s="1">
        <v>0</v>
      </c>
      <c r="J740" s="3" t="s">
        <v>447</v>
      </c>
      <c r="K740" s="2" t="str">
        <f>J740*138.51</f>
        <v>0</v>
      </c>
      <c r="L740" s="5"/>
    </row>
    <row r="741" spans="1:12" customHeight="1" ht="105" outlineLevel="4">
      <c r="A741" s="1"/>
      <c r="B741" s="1">
        <v>930504</v>
      </c>
      <c r="C741" s="1" t="s">
        <v>2191</v>
      </c>
      <c r="D741" s="1"/>
      <c r="E741" s="2" t="s">
        <v>2192</v>
      </c>
      <c r="F741" s="2" t="s">
        <v>2193</v>
      </c>
      <c r="G741" s="2" t="s">
        <v>58</v>
      </c>
      <c r="H741" s="2">
        <v>0</v>
      </c>
      <c r="I741" s="1">
        <v>0</v>
      </c>
      <c r="J741" s="3" t="s">
        <v>447</v>
      </c>
      <c r="K741" s="2" t="str">
        <f>J741*42.75</f>
        <v>0</v>
      </c>
      <c r="L741" s="5"/>
    </row>
    <row r="742" spans="1:12" customHeight="1" ht="105" outlineLevel="4">
      <c r="A742" s="1"/>
      <c r="B742" s="1">
        <v>930505</v>
      </c>
      <c r="C742" s="1" t="s">
        <v>2194</v>
      </c>
      <c r="D742" s="1"/>
      <c r="E742" s="2" t="s">
        <v>2195</v>
      </c>
      <c r="F742" s="2" t="s">
        <v>2069</v>
      </c>
      <c r="G742" s="2">
        <v>0</v>
      </c>
      <c r="H742" s="2">
        <v>0</v>
      </c>
      <c r="I742" s="1">
        <v>0</v>
      </c>
      <c r="J742" s="3" t="s">
        <v>447</v>
      </c>
      <c r="K742" s="2" t="str">
        <f>J742*64.98</f>
        <v>0</v>
      </c>
      <c r="L742" s="5"/>
    </row>
    <row r="743" spans="1:12" customHeight="1" ht="105" outlineLevel="4">
      <c r="A743" s="1"/>
      <c r="B743" s="1">
        <v>930506</v>
      </c>
      <c r="C743" s="1" t="s">
        <v>2196</v>
      </c>
      <c r="D743" s="1"/>
      <c r="E743" s="2" t="s">
        <v>2197</v>
      </c>
      <c r="F743" s="2" t="s">
        <v>2198</v>
      </c>
      <c r="G743" s="2">
        <v>0</v>
      </c>
      <c r="H743" s="2">
        <v>0</v>
      </c>
      <c r="I743" s="1">
        <v>0</v>
      </c>
      <c r="J743" s="3" t="s">
        <v>447</v>
      </c>
      <c r="K743" s="2" t="str">
        <f>J743*49.59</f>
        <v>0</v>
      </c>
      <c r="L743" s="5"/>
    </row>
    <row r="744" spans="1:12" customHeight="1" ht="105" outlineLevel="4">
      <c r="A744" s="1"/>
      <c r="B744" s="1">
        <v>930507</v>
      </c>
      <c r="C744" s="1" t="s">
        <v>2199</v>
      </c>
      <c r="D744" s="1"/>
      <c r="E744" s="2" t="s">
        <v>2200</v>
      </c>
      <c r="F744" s="2" t="s">
        <v>1993</v>
      </c>
      <c r="G744" s="2">
        <v>0</v>
      </c>
      <c r="H744" s="2">
        <v>0</v>
      </c>
      <c r="I744" s="1">
        <v>0</v>
      </c>
      <c r="J744" s="3" t="s">
        <v>447</v>
      </c>
      <c r="K744" s="2" t="str">
        <f>J744*70.11</f>
        <v>0</v>
      </c>
      <c r="L744" s="5"/>
    </row>
    <row r="745" spans="1:12" customHeight="1" ht="105" outlineLevel="4">
      <c r="A745" s="1"/>
      <c r="B745" s="1">
        <v>930508</v>
      </c>
      <c r="C745" s="1" t="s">
        <v>2201</v>
      </c>
      <c r="D745" s="1"/>
      <c r="E745" s="2" t="s">
        <v>2202</v>
      </c>
      <c r="F745" s="2" t="s">
        <v>2026</v>
      </c>
      <c r="G745" s="2">
        <v>0</v>
      </c>
      <c r="H745" s="2">
        <v>0</v>
      </c>
      <c r="I745" s="1">
        <v>0</v>
      </c>
      <c r="J745" s="3" t="s">
        <v>447</v>
      </c>
      <c r="K745" s="2" t="str">
        <f>J745*58.14</f>
        <v>0</v>
      </c>
      <c r="L745" s="5"/>
    </row>
    <row r="746" spans="1:12" customHeight="1" ht="105" outlineLevel="4">
      <c r="A746" s="1"/>
      <c r="B746" s="1">
        <v>930509</v>
      </c>
      <c r="C746" s="1" t="s">
        <v>2203</v>
      </c>
      <c r="D746" s="1"/>
      <c r="E746" s="2" t="s">
        <v>2204</v>
      </c>
      <c r="F746" s="2" t="s">
        <v>2205</v>
      </c>
      <c r="G746" s="2">
        <v>0</v>
      </c>
      <c r="H746" s="2">
        <v>0</v>
      </c>
      <c r="I746" s="1">
        <v>0</v>
      </c>
      <c r="J746" s="3" t="s">
        <v>447</v>
      </c>
      <c r="K746" s="2" t="str">
        <f>J746*76.95</f>
        <v>0</v>
      </c>
      <c r="L746" s="5"/>
    </row>
    <row r="747" spans="1:12" customHeight="1" ht="105" outlineLevel="4">
      <c r="A747" s="1"/>
      <c r="B747" s="1">
        <v>930510</v>
      </c>
      <c r="C747" s="1" t="s">
        <v>2206</v>
      </c>
      <c r="D747" s="1"/>
      <c r="E747" s="2" t="s">
        <v>2207</v>
      </c>
      <c r="F747" s="2" t="s">
        <v>2208</v>
      </c>
      <c r="G747" s="2">
        <v>0</v>
      </c>
      <c r="H747" s="2">
        <v>0</v>
      </c>
      <c r="I747" s="1">
        <v>0</v>
      </c>
      <c r="J747" s="3" t="s">
        <v>447</v>
      </c>
      <c r="K747" s="2" t="str">
        <f>J747*121.41</f>
        <v>0</v>
      </c>
      <c r="L747" s="5"/>
    </row>
    <row r="748" spans="1:12" customHeight="1" ht="105" outlineLevel="4">
      <c r="A748" s="1"/>
      <c r="B748" s="1">
        <v>930511</v>
      </c>
      <c r="C748" s="1" t="s">
        <v>2209</v>
      </c>
      <c r="D748" s="1"/>
      <c r="E748" s="2" t="s">
        <v>2210</v>
      </c>
      <c r="F748" s="2" t="s">
        <v>2066</v>
      </c>
      <c r="G748" s="2" t="s">
        <v>58</v>
      </c>
      <c r="H748" s="2">
        <v>0</v>
      </c>
      <c r="I748" s="1">
        <v>0</v>
      </c>
      <c r="J748" s="3" t="s">
        <v>447</v>
      </c>
      <c r="K748" s="2" t="str">
        <f>J748*44.46</f>
        <v>0</v>
      </c>
      <c r="L748" s="5"/>
    </row>
    <row r="749" spans="1:12" customHeight="1" ht="105" outlineLevel="4">
      <c r="A749" s="1"/>
      <c r="B749" s="1">
        <v>930512</v>
      </c>
      <c r="C749" s="1" t="s">
        <v>2211</v>
      </c>
      <c r="D749" s="1"/>
      <c r="E749" s="2" t="s">
        <v>2212</v>
      </c>
      <c r="F749" s="2" t="s">
        <v>2132</v>
      </c>
      <c r="G749" s="2">
        <v>0</v>
      </c>
      <c r="H749" s="2">
        <v>0</v>
      </c>
      <c r="I749" s="1">
        <v>0</v>
      </c>
      <c r="J749" s="3" t="s">
        <v>447</v>
      </c>
      <c r="K749" s="2" t="str">
        <f>J749*53.01</f>
        <v>0</v>
      </c>
      <c r="L749" s="5"/>
    </row>
    <row r="750" spans="1:12" customHeight="1" ht="105" outlineLevel="4">
      <c r="A750" s="1"/>
      <c r="B750" s="1">
        <v>930513</v>
      </c>
      <c r="C750" s="1" t="s">
        <v>2213</v>
      </c>
      <c r="D750" s="1"/>
      <c r="E750" s="2" t="s">
        <v>2214</v>
      </c>
      <c r="F750" s="2" t="s">
        <v>2215</v>
      </c>
      <c r="G750" s="2">
        <v>0</v>
      </c>
      <c r="H750" s="2">
        <v>0</v>
      </c>
      <c r="I750" s="1">
        <v>0</v>
      </c>
      <c r="J750" s="3" t="s">
        <v>447</v>
      </c>
      <c r="K750" s="2" t="str">
        <f>J750*73.53</f>
        <v>0</v>
      </c>
      <c r="L750" s="5"/>
    </row>
    <row r="751" spans="1:12" customHeight="1" ht="105" outlineLevel="4">
      <c r="A751" s="1"/>
      <c r="B751" s="1">
        <v>930514</v>
      </c>
      <c r="C751" s="1" t="s">
        <v>2216</v>
      </c>
      <c r="D751" s="1"/>
      <c r="E751" s="2" t="s">
        <v>2217</v>
      </c>
      <c r="F751" s="2" t="s">
        <v>2132</v>
      </c>
      <c r="G751" s="2" t="s">
        <v>58</v>
      </c>
      <c r="H751" s="2">
        <v>0</v>
      </c>
      <c r="I751" s="1">
        <v>0</v>
      </c>
      <c r="J751" s="3" t="s">
        <v>447</v>
      </c>
      <c r="K751" s="2" t="str">
        <f>J751*53.01</f>
        <v>0</v>
      </c>
      <c r="L751" s="5"/>
    </row>
    <row r="752" spans="1:12" customHeight="1" ht="105" outlineLevel="4">
      <c r="A752" s="1"/>
      <c r="B752" s="1">
        <v>930515</v>
      </c>
      <c r="C752" s="1" t="s">
        <v>2218</v>
      </c>
      <c r="D752" s="1"/>
      <c r="E752" s="2" t="s">
        <v>2219</v>
      </c>
      <c r="F752" s="2" t="s">
        <v>2220</v>
      </c>
      <c r="G752" s="2" t="s">
        <v>152</v>
      </c>
      <c r="H752" s="2">
        <v>0</v>
      </c>
      <c r="I752" s="1">
        <v>0</v>
      </c>
      <c r="J752" s="3" t="s">
        <v>447</v>
      </c>
      <c r="K752" s="2" t="str">
        <f>J752*100.89</f>
        <v>0</v>
      </c>
      <c r="L752" s="5"/>
    </row>
    <row r="753" spans="1:12" customHeight="1" ht="105" outlineLevel="4">
      <c r="A753" s="1"/>
      <c r="B753" s="1">
        <v>930516</v>
      </c>
      <c r="C753" s="1" t="s">
        <v>2221</v>
      </c>
      <c r="D753" s="1"/>
      <c r="E753" s="2" t="s">
        <v>2222</v>
      </c>
      <c r="F753" s="2" t="s">
        <v>2223</v>
      </c>
      <c r="G753" s="2">
        <v>0</v>
      </c>
      <c r="H753" s="2">
        <v>0</v>
      </c>
      <c r="I753" s="1">
        <v>0</v>
      </c>
      <c r="J753" s="3" t="s">
        <v>447</v>
      </c>
      <c r="K753" s="2" t="str">
        <f>J753*114.57</f>
        <v>0</v>
      </c>
      <c r="L753" s="5"/>
    </row>
    <row r="754" spans="1:12" customHeight="1" ht="105" outlineLevel="4">
      <c r="A754" s="1"/>
      <c r="B754" s="1">
        <v>930517</v>
      </c>
      <c r="C754" s="1" t="s">
        <v>2224</v>
      </c>
      <c r="D754" s="1"/>
      <c r="E754" s="2" t="s">
        <v>2225</v>
      </c>
      <c r="F754" s="2" t="s">
        <v>2039</v>
      </c>
      <c r="G754" s="2" t="s">
        <v>58</v>
      </c>
      <c r="H754" s="2">
        <v>0</v>
      </c>
      <c r="I754" s="1">
        <v>0</v>
      </c>
      <c r="J754" s="3" t="s">
        <v>447</v>
      </c>
      <c r="K754" s="2" t="str">
        <f>J754*54.72</f>
        <v>0</v>
      </c>
      <c r="L754" s="5"/>
    </row>
    <row r="755" spans="1:12" customHeight="1" ht="105" outlineLevel="4">
      <c r="A755" s="1"/>
      <c r="B755" s="1">
        <v>930518</v>
      </c>
      <c r="C755" s="1" t="s">
        <v>2226</v>
      </c>
      <c r="D755" s="1"/>
      <c r="E755" s="2" t="s">
        <v>2227</v>
      </c>
      <c r="F755" s="2" t="s">
        <v>2228</v>
      </c>
      <c r="G755" s="2">
        <v>0</v>
      </c>
      <c r="H755" s="2">
        <v>0</v>
      </c>
      <c r="I755" s="1">
        <v>0</v>
      </c>
      <c r="J755" s="3" t="s">
        <v>447</v>
      </c>
      <c r="K755" s="2" t="str">
        <f>J755*78.66</f>
        <v>0</v>
      </c>
      <c r="L755" s="5"/>
    </row>
    <row r="756" spans="1:12" customHeight="1" ht="105" outlineLevel="4">
      <c r="A756" s="1"/>
      <c r="B756" s="1">
        <v>930519</v>
      </c>
      <c r="C756" s="1" t="s">
        <v>2229</v>
      </c>
      <c r="D756" s="1"/>
      <c r="E756" s="2" t="s">
        <v>2230</v>
      </c>
      <c r="F756" s="2" t="s">
        <v>1990</v>
      </c>
      <c r="G756" s="2">
        <v>0</v>
      </c>
      <c r="H756" s="2">
        <v>0</v>
      </c>
      <c r="I756" s="1">
        <v>0</v>
      </c>
      <c r="J756" s="3" t="s">
        <v>447</v>
      </c>
      <c r="K756" s="2" t="str">
        <f>J756*61.56</f>
        <v>0</v>
      </c>
      <c r="L756" s="5"/>
    </row>
    <row r="757" spans="1:12" customHeight="1" ht="105" outlineLevel="4">
      <c r="A757" s="1"/>
      <c r="B757" s="1">
        <v>930520</v>
      </c>
      <c r="C757" s="1" t="s">
        <v>2231</v>
      </c>
      <c r="D757" s="1"/>
      <c r="E757" s="2" t="s">
        <v>2232</v>
      </c>
      <c r="F757" s="2" t="s">
        <v>2233</v>
      </c>
      <c r="G757" s="2">
        <v>0</v>
      </c>
      <c r="H757" s="2">
        <v>0</v>
      </c>
      <c r="I757" s="1">
        <v>0</v>
      </c>
      <c r="J757" s="3" t="s">
        <v>447</v>
      </c>
      <c r="K757" s="2" t="str">
        <f>J757*85.50</f>
        <v>0</v>
      </c>
      <c r="L757" s="5"/>
    </row>
    <row r="758" spans="1:12" customHeight="1" ht="105" outlineLevel="4">
      <c r="A758" s="1"/>
      <c r="B758" s="1">
        <v>930521</v>
      </c>
      <c r="C758" s="1" t="s">
        <v>2234</v>
      </c>
      <c r="D758" s="1"/>
      <c r="E758" s="2" t="s">
        <v>2235</v>
      </c>
      <c r="F758" s="2" t="s">
        <v>1993</v>
      </c>
      <c r="G758" s="2">
        <v>0</v>
      </c>
      <c r="H758" s="2">
        <v>0</v>
      </c>
      <c r="I758" s="1">
        <v>0</v>
      </c>
      <c r="J758" s="3" t="s">
        <v>447</v>
      </c>
      <c r="K758" s="2" t="str">
        <f>J758*70.11</f>
        <v>0</v>
      </c>
      <c r="L758" s="5"/>
    </row>
    <row r="759" spans="1:12" customHeight="1" ht="105" outlineLevel="4">
      <c r="A759" s="1"/>
      <c r="B759" s="1">
        <v>930522</v>
      </c>
      <c r="C759" s="1" t="s">
        <v>2236</v>
      </c>
      <c r="D759" s="1"/>
      <c r="E759" s="2" t="s">
        <v>2237</v>
      </c>
      <c r="F759" s="2" t="s">
        <v>2238</v>
      </c>
      <c r="G759" s="2">
        <v>0</v>
      </c>
      <c r="H759" s="2">
        <v>0</v>
      </c>
      <c r="I759" s="1">
        <v>0</v>
      </c>
      <c r="J759" s="3" t="s">
        <v>447</v>
      </c>
      <c r="K759" s="2" t="str">
        <f>J759*95.76</f>
        <v>0</v>
      </c>
      <c r="L759" s="5"/>
    </row>
    <row r="760" spans="1:12" customHeight="1" ht="105" outlineLevel="4">
      <c r="A760" s="1"/>
      <c r="B760" s="1">
        <v>930523</v>
      </c>
      <c r="C760" s="1" t="s">
        <v>2239</v>
      </c>
      <c r="D760" s="1"/>
      <c r="E760" s="2" t="s">
        <v>2240</v>
      </c>
      <c r="F760" s="2" t="s">
        <v>1889</v>
      </c>
      <c r="G760" s="2">
        <v>0</v>
      </c>
      <c r="H760" s="2">
        <v>0</v>
      </c>
      <c r="I760" s="1">
        <v>0</v>
      </c>
      <c r="J760" s="3" t="s">
        <v>447</v>
      </c>
      <c r="K760" s="2" t="str">
        <f>J760*148.77</f>
        <v>0</v>
      </c>
      <c r="L760" s="5"/>
    </row>
    <row r="761" spans="1:12" customHeight="1" ht="105" outlineLevel="4">
      <c r="A761" s="1"/>
      <c r="B761" s="1">
        <v>930524</v>
      </c>
      <c r="C761" s="1" t="s">
        <v>2241</v>
      </c>
      <c r="D761" s="1"/>
      <c r="E761" s="2" t="s">
        <v>2242</v>
      </c>
      <c r="F761" s="2" t="s">
        <v>2198</v>
      </c>
      <c r="G761" s="2" t="s">
        <v>58</v>
      </c>
      <c r="H761" s="2">
        <v>0</v>
      </c>
      <c r="I761" s="1">
        <v>0</v>
      </c>
      <c r="J761" s="3" t="s">
        <v>447</v>
      </c>
      <c r="K761" s="2" t="str">
        <f>J761*49.59</f>
        <v>0</v>
      </c>
      <c r="L761" s="5"/>
    </row>
    <row r="762" spans="1:12" customHeight="1" ht="105" outlineLevel="4">
      <c r="A762" s="1"/>
      <c r="B762" s="1">
        <v>930525</v>
      </c>
      <c r="C762" s="1" t="s">
        <v>2243</v>
      </c>
      <c r="D762" s="1"/>
      <c r="E762" s="2" t="s">
        <v>2244</v>
      </c>
      <c r="F762" s="2" t="s">
        <v>2069</v>
      </c>
      <c r="G762" s="2">
        <v>0</v>
      </c>
      <c r="H762" s="2">
        <v>0</v>
      </c>
      <c r="I762" s="1">
        <v>0</v>
      </c>
      <c r="J762" s="3" t="s">
        <v>447</v>
      </c>
      <c r="K762" s="2" t="str">
        <f>J762*64.98</f>
        <v>0</v>
      </c>
      <c r="L762" s="5"/>
    </row>
    <row r="763" spans="1:12" customHeight="1" ht="105" outlineLevel="4">
      <c r="A763" s="1"/>
      <c r="B763" s="1">
        <v>930526</v>
      </c>
      <c r="C763" s="1" t="s">
        <v>2245</v>
      </c>
      <c r="D763" s="1"/>
      <c r="E763" s="2" t="s">
        <v>2246</v>
      </c>
      <c r="F763" s="2" t="s">
        <v>2132</v>
      </c>
      <c r="G763" s="2">
        <v>0</v>
      </c>
      <c r="H763" s="2">
        <v>0</v>
      </c>
      <c r="I763" s="1">
        <v>0</v>
      </c>
      <c r="J763" s="3" t="s">
        <v>447</v>
      </c>
      <c r="K763" s="2" t="str">
        <f>J763*53.01</f>
        <v>0</v>
      </c>
      <c r="L763" s="5"/>
    </row>
    <row r="764" spans="1:12" customHeight="1" ht="105" outlineLevel="4">
      <c r="A764" s="1"/>
      <c r="B764" s="1">
        <v>930527</v>
      </c>
      <c r="C764" s="1" t="s">
        <v>2247</v>
      </c>
      <c r="D764" s="1"/>
      <c r="E764" s="2" t="s">
        <v>2248</v>
      </c>
      <c r="F764" s="2" t="s">
        <v>2135</v>
      </c>
      <c r="G764" s="2">
        <v>0</v>
      </c>
      <c r="H764" s="2">
        <v>0</v>
      </c>
      <c r="I764" s="1">
        <v>0</v>
      </c>
      <c r="J764" s="3" t="s">
        <v>447</v>
      </c>
      <c r="K764" s="2" t="str">
        <f>J764*75.24</f>
        <v>0</v>
      </c>
      <c r="L764" s="5"/>
    </row>
    <row r="765" spans="1:12" customHeight="1" ht="105" outlineLevel="4">
      <c r="A765" s="1"/>
      <c r="B765" s="1">
        <v>930528</v>
      </c>
      <c r="C765" s="1" t="s">
        <v>2249</v>
      </c>
      <c r="D765" s="1"/>
      <c r="E765" s="2" t="s">
        <v>2250</v>
      </c>
      <c r="F765" s="2" t="s">
        <v>2251</v>
      </c>
      <c r="G765" s="2">
        <v>0</v>
      </c>
      <c r="H765" s="2">
        <v>0</v>
      </c>
      <c r="I765" s="1">
        <v>0</v>
      </c>
      <c r="J765" s="3" t="s">
        <v>447</v>
      </c>
      <c r="K765" s="2" t="str">
        <f>J765*59.85</f>
        <v>0</v>
      </c>
      <c r="L765" s="5"/>
    </row>
    <row r="766" spans="1:12" customHeight="1" ht="105" outlineLevel="4">
      <c r="A766" s="1"/>
      <c r="B766" s="1">
        <v>930529</v>
      </c>
      <c r="C766" s="1" t="s">
        <v>2252</v>
      </c>
      <c r="D766" s="1"/>
      <c r="E766" s="2" t="s">
        <v>2253</v>
      </c>
      <c r="F766" s="2" t="s">
        <v>2184</v>
      </c>
      <c r="G766" s="2">
        <v>0</v>
      </c>
      <c r="H766" s="2">
        <v>0</v>
      </c>
      <c r="I766" s="1">
        <v>0</v>
      </c>
      <c r="J766" s="3" t="s">
        <v>447</v>
      </c>
      <c r="K766" s="2" t="str">
        <f>J766*82.08</f>
        <v>0</v>
      </c>
      <c r="L766" s="5"/>
    </row>
    <row r="767" spans="1:12" customHeight="1" ht="105" outlineLevel="4">
      <c r="A767" s="1"/>
      <c r="B767" s="1">
        <v>930530</v>
      </c>
      <c r="C767" s="1" t="s">
        <v>2254</v>
      </c>
      <c r="D767" s="1"/>
      <c r="E767" s="2" t="s">
        <v>2255</v>
      </c>
      <c r="F767" s="2" t="s">
        <v>2256</v>
      </c>
      <c r="G767" s="2">
        <v>0</v>
      </c>
      <c r="H767" s="2">
        <v>0</v>
      </c>
      <c r="I767" s="1">
        <v>0</v>
      </c>
      <c r="J767" s="3" t="s">
        <v>447</v>
      </c>
      <c r="K767" s="2" t="str">
        <f>J767*126.54</f>
        <v>0</v>
      </c>
      <c r="L767" s="5"/>
    </row>
    <row r="768" spans="1:12" customHeight="1" ht="105" outlineLevel="4">
      <c r="A768" s="1"/>
      <c r="B768" s="1">
        <v>930531</v>
      </c>
      <c r="C768" s="1" t="s">
        <v>2257</v>
      </c>
      <c r="D768" s="1"/>
      <c r="E768" s="2" t="s">
        <v>2258</v>
      </c>
      <c r="F768" s="2" t="s">
        <v>2069</v>
      </c>
      <c r="G768" s="2">
        <v>0</v>
      </c>
      <c r="H768" s="2">
        <v>0</v>
      </c>
      <c r="I768" s="1">
        <v>0</v>
      </c>
      <c r="J768" s="3" t="s">
        <v>447</v>
      </c>
      <c r="K768" s="2" t="str">
        <f>J768*64.98</f>
        <v>0</v>
      </c>
      <c r="L768" s="5"/>
    </row>
    <row r="769" spans="1:12" customHeight="1" ht="105" outlineLevel="4">
      <c r="A769" s="1"/>
      <c r="B769" s="1">
        <v>930532</v>
      </c>
      <c r="C769" s="1" t="s">
        <v>2259</v>
      </c>
      <c r="D769" s="1"/>
      <c r="E769" s="2" t="s">
        <v>2260</v>
      </c>
      <c r="F769" s="2" t="s">
        <v>524</v>
      </c>
      <c r="G769" s="2">
        <v>0</v>
      </c>
      <c r="H769" s="2">
        <v>0</v>
      </c>
      <c r="I769" s="1">
        <v>0</v>
      </c>
      <c r="J769" s="3" t="s">
        <v>447</v>
      </c>
      <c r="K769" s="2" t="str">
        <f>J769*107.73</f>
        <v>0</v>
      </c>
      <c r="L769" s="5"/>
    </row>
    <row r="770" spans="1:12" customHeight="1" ht="105" outlineLevel="4">
      <c r="A770" s="1"/>
      <c r="B770" s="1">
        <v>930533</v>
      </c>
      <c r="C770" s="1" t="s">
        <v>2261</v>
      </c>
      <c r="D770" s="1"/>
      <c r="E770" s="2" t="s">
        <v>2262</v>
      </c>
      <c r="F770" s="2" t="s">
        <v>2263</v>
      </c>
      <c r="G770" s="2">
        <v>0</v>
      </c>
      <c r="H770" s="2">
        <v>0</v>
      </c>
      <c r="I770" s="1">
        <v>0</v>
      </c>
      <c r="J770" s="3" t="s">
        <v>447</v>
      </c>
      <c r="K770" s="2" t="str">
        <f>J770*99.18</f>
        <v>0</v>
      </c>
      <c r="L770" s="5"/>
    </row>
    <row r="771" spans="1:12" customHeight="1" ht="105" outlineLevel="4">
      <c r="A771" s="1"/>
      <c r="B771" s="1">
        <v>930534</v>
      </c>
      <c r="C771" s="1" t="s">
        <v>2264</v>
      </c>
      <c r="D771" s="1"/>
      <c r="E771" s="2" t="s">
        <v>2265</v>
      </c>
      <c r="F771" s="2" t="s">
        <v>1933</v>
      </c>
      <c r="G771" s="2">
        <v>0</v>
      </c>
      <c r="H771" s="2">
        <v>0</v>
      </c>
      <c r="I771" s="1">
        <v>0</v>
      </c>
      <c r="J771" s="3" t="s">
        <v>447</v>
      </c>
      <c r="K771" s="2" t="str">
        <f>J771*133.38</f>
        <v>0</v>
      </c>
      <c r="L771" s="5"/>
    </row>
    <row r="772" spans="1:12" customHeight="1" ht="105" outlineLevel="4">
      <c r="A772" s="1"/>
      <c r="B772" s="1">
        <v>930535</v>
      </c>
      <c r="C772" s="1" t="s">
        <v>2266</v>
      </c>
      <c r="D772" s="1"/>
      <c r="E772" s="2" t="s">
        <v>2267</v>
      </c>
      <c r="F772" s="2" t="s">
        <v>1895</v>
      </c>
      <c r="G772" s="2">
        <v>0</v>
      </c>
      <c r="H772" s="2">
        <v>0</v>
      </c>
      <c r="I772" s="1">
        <v>0</v>
      </c>
      <c r="J772" s="3" t="s">
        <v>447</v>
      </c>
      <c r="K772" s="2" t="str">
        <f>J772*174.42</f>
        <v>0</v>
      </c>
      <c r="L772" s="5"/>
    </row>
    <row r="773" spans="1:12" customHeight="1" ht="105" outlineLevel="4">
      <c r="A773" s="1"/>
      <c r="B773" s="1">
        <v>930536</v>
      </c>
      <c r="C773" s="1" t="s">
        <v>2268</v>
      </c>
      <c r="D773" s="1"/>
      <c r="E773" s="2" t="s">
        <v>2269</v>
      </c>
      <c r="F773" s="2" t="s">
        <v>2223</v>
      </c>
      <c r="G773" s="2">
        <v>0</v>
      </c>
      <c r="H773" s="2">
        <v>0</v>
      </c>
      <c r="I773" s="1">
        <v>0</v>
      </c>
      <c r="J773" s="3" t="s">
        <v>447</v>
      </c>
      <c r="K773" s="2" t="str">
        <f>J773*114.57</f>
        <v>0</v>
      </c>
      <c r="L773" s="5"/>
    </row>
    <row r="774" spans="1:12" customHeight="1" ht="105" outlineLevel="4">
      <c r="A774" s="1"/>
      <c r="B774" s="1">
        <v>930537</v>
      </c>
      <c r="C774" s="1" t="s">
        <v>2270</v>
      </c>
      <c r="D774" s="1"/>
      <c r="E774" s="2" t="s">
        <v>2271</v>
      </c>
      <c r="F774" s="2" t="s">
        <v>2272</v>
      </c>
      <c r="G774" s="2">
        <v>0</v>
      </c>
      <c r="H774" s="2">
        <v>0</v>
      </c>
      <c r="I774" s="1">
        <v>0</v>
      </c>
      <c r="J774" s="3" t="s">
        <v>447</v>
      </c>
      <c r="K774" s="2" t="str">
        <f>J774*147.06</f>
        <v>0</v>
      </c>
      <c r="L774" s="5"/>
    </row>
    <row r="775" spans="1:12" customHeight="1" ht="105" outlineLevel="4">
      <c r="A775" s="1"/>
      <c r="B775" s="1">
        <v>930538</v>
      </c>
      <c r="C775" s="1" t="s">
        <v>2273</v>
      </c>
      <c r="D775" s="1"/>
      <c r="E775" s="2" t="s">
        <v>2274</v>
      </c>
      <c r="F775" s="2" t="s">
        <v>1962</v>
      </c>
      <c r="G775" s="2">
        <v>0</v>
      </c>
      <c r="H775" s="2">
        <v>0</v>
      </c>
      <c r="I775" s="1">
        <v>0</v>
      </c>
      <c r="J775" s="3" t="s">
        <v>447</v>
      </c>
      <c r="K775" s="2" t="str">
        <f>J775*159.03</f>
        <v>0</v>
      </c>
      <c r="L775" s="5"/>
    </row>
    <row r="776" spans="1:12" customHeight="1" ht="105" outlineLevel="4">
      <c r="A776" s="1"/>
      <c r="B776" s="1">
        <v>930539</v>
      </c>
      <c r="C776" s="1" t="s">
        <v>2275</v>
      </c>
      <c r="D776" s="1"/>
      <c r="E776" s="2" t="s">
        <v>2276</v>
      </c>
      <c r="F776" s="2" t="s">
        <v>2277</v>
      </c>
      <c r="G776" s="2">
        <v>0</v>
      </c>
      <c r="H776" s="2">
        <v>0</v>
      </c>
      <c r="I776" s="1">
        <v>0</v>
      </c>
      <c r="J776" s="3" t="s">
        <v>447</v>
      </c>
      <c r="K776" s="2" t="str">
        <f>J776*205.20</f>
        <v>0</v>
      </c>
      <c r="L776" s="5"/>
    </row>
    <row r="777" spans="1:12" customHeight="1" ht="105" outlineLevel="4">
      <c r="A777" s="1"/>
      <c r="B777" s="1">
        <v>930540</v>
      </c>
      <c r="C777" s="1" t="s">
        <v>2278</v>
      </c>
      <c r="D777" s="1"/>
      <c r="E777" s="2" t="s">
        <v>2279</v>
      </c>
      <c r="F777" s="2" t="s">
        <v>1990</v>
      </c>
      <c r="G777" s="2" t="s">
        <v>58</v>
      </c>
      <c r="H777" s="2">
        <v>0</v>
      </c>
      <c r="I777" s="1">
        <v>0</v>
      </c>
      <c r="J777" s="3" t="s">
        <v>447</v>
      </c>
      <c r="K777" s="2" t="str">
        <f>J777*61.56</f>
        <v>0</v>
      </c>
      <c r="L777" s="5"/>
    </row>
    <row r="778" spans="1:12" customHeight="1" ht="105" outlineLevel="4">
      <c r="A778" s="1"/>
      <c r="B778" s="1">
        <v>930541</v>
      </c>
      <c r="C778" s="1" t="s">
        <v>2280</v>
      </c>
      <c r="D778" s="1"/>
      <c r="E778" s="2" t="s">
        <v>2281</v>
      </c>
      <c r="F778" s="2" t="s">
        <v>2282</v>
      </c>
      <c r="G778" s="2" t="s">
        <v>58</v>
      </c>
      <c r="H778" s="2">
        <v>0</v>
      </c>
      <c r="I778" s="1">
        <v>0</v>
      </c>
      <c r="J778" s="3" t="s">
        <v>447</v>
      </c>
      <c r="K778" s="2" t="str">
        <f>J778*80.37</f>
        <v>0</v>
      </c>
      <c r="L778" s="5"/>
    </row>
    <row r="779" spans="1:12" customHeight="1" ht="105" outlineLevel="4">
      <c r="A779" s="1"/>
      <c r="B779" s="1">
        <v>930542</v>
      </c>
      <c r="C779" s="1" t="s">
        <v>2283</v>
      </c>
      <c r="D779" s="1"/>
      <c r="E779" s="2" t="s">
        <v>2284</v>
      </c>
      <c r="F779" s="2" t="s">
        <v>2285</v>
      </c>
      <c r="G779" s="2" t="s">
        <v>58</v>
      </c>
      <c r="H779" s="2">
        <v>0</v>
      </c>
      <c r="I779" s="1">
        <v>0</v>
      </c>
      <c r="J779" s="3" t="s">
        <v>447</v>
      </c>
      <c r="K779" s="2" t="str">
        <f>J779*116.28</f>
        <v>0</v>
      </c>
      <c r="L779" s="5"/>
    </row>
    <row r="780" spans="1:12" customHeight="1" ht="105" outlineLevel="4">
      <c r="A780" s="1"/>
      <c r="B780" s="1">
        <v>930543</v>
      </c>
      <c r="C780" s="1" t="s">
        <v>2286</v>
      </c>
      <c r="D780" s="1"/>
      <c r="E780" s="2" t="s">
        <v>2287</v>
      </c>
      <c r="F780" s="2" t="s">
        <v>2288</v>
      </c>
      <c r="G780" s="2">
        <v>0</v>
      </c>
      <c r="H780" s="2">
        <v>0</v>
      </c>
      <c r="I780" s="1">
        <v>0</v>
      </c>
      <c r="J780" s="3" t="s">
        <v>447</v>
      </c>
      <c r="K780" s="2" t="str">
        <f>J780*319.77</f>
        <v>0</v>
      </c>
      <c r="L780" s="5"/>
    </row>
    <row r="781" spans="1:12" customHeight="1" ht="105" outlineLevel="4">
      <c r="A781" s="1"/>
      <c r="B781" s="1">
        <v>930544</v>
      </c>
      <c r="C781" s="1" t="s">
        <v>2289</v>
      </c>
      <c r="D781" s="1"/>
      <c r="E781" s="2" t="s">
        <v>2290</v>
      </c>
      <c r="F781" s="2" t="s">
        <v>2291</v>
      </c>
      <c r="G781" s="2">
        <v>0</v>
      </c>
      <c r="H781" s="2">
        <v>0</v>
      </c>
      <c r="I781" s="1">
        <v>0</v>
      </c>
      <c r="J781" s="3" t="s">
        <v>447</v>
      </c>
      <c r="K781" s="2" t="str">
        <f>J781*432.63</f>
        <v>0</v>
      </c>
      <c r="L781" s="5"/>
    </row>
    <row r="782" spans="1:12" customHeight="1" ht="105" outlineLevel="4">
      <c r="A782" s="1"/>
      <c r="B782" s="1">
        <v>930545</v>
      </c>
      <c r="C782" s="1" t="s">
        <v>2292</v>
      </c>
      <c r="D782" s="1"/>
      <c r="E782" s="2" t="s">
        <v>2293</v>
      </c>
      <c r="F782" s="2" t="s">
        <v>2294</v>
      </c>
      <c r="G782" s="2">
        <v>0</v>
      </c>
      <c r="H782" s="2">
        <v>0</v>
      </c>
      <c r="I782" s="1">
        <v>0</v>
      </c>
      <c r="J782" s="3" t="s">
        <v>447</v>
      </c>
      <c r="K782" s="2" t="str">
        <f>J782*820.80</f>
        <v>0</v>
      </c>
      <c r="L782" s="5"/>
    </row>
    <row r="783" spans="1:12" customHeight="1" ht="105" outlineLevel="4">
      <c r="A783" s="1"/>
      <c r="B783" s="1">
        <v>930546</v>
      </c>
      <c r="C783" s="1" t="s">
        <v>2295</v>
      </c>
      <c r="D783" s="1"/>
      <c r="E783" s="2" t="s">
        <v>2296</v>
      </c>
      <c r="F783" s="2" t="s">
        <v>2010</v>
      </c>
      <c r="G783" s="2">
        <v>0</v>
      </c>
      <c r="H783" s="2">
        <v>0</v>
      </c>
      <c r="I783" s="1">
        <v>0</v>
      </c>
      <c r="J783" s="3" t="s">
        <v>447</v>
      </c>
      <c r="K783" s="2" t="str">
        <f>J783*203.49</f>
        <v>0</v>
      </c>
      <c r="L783" s="5"/>
    </row>
    <row r="784" spans="1:12" customHeight="1" ht="105" outlineLevel="4">
      <c r="A784" s="1"/>
      <c r="B784" s="1">
        <v>930547</v>
      </c>
      <c r="C784" s="1" t="s">
        <v>2297</v>
      </c>
      <c r="D784" s="1"/>
      <c r="E784" s="2" t="s">
        <v>2298</v>
      </c>
      <c r="F784" s="2" t="s">
        <v>2299</v>
      </c>
      <c r="G784" s="2">
        <v>0</v>
      </c>
      <c r="H784" s="2">
        <v>0</v>
      </c>
      <c r="I784" s="1">
        <v>0</v>
      </c>
      <c r="J784" s="3" t="s">
        <v>447</v>
      </c>
      <c r="K784" s="2" t="str">
        <f>J784*232.56</f>
        <v>0</v>
      </c>
      <c r="L784" s="5"/>
    </row>
    <row r="785" spans="1:12" customHeight="1" ht="105" outlineLevel="4">
      <c r="A785" s="1"/>
      <c r="B785" s="1">
        <v>930548</v>
      </c>
      <c r="C785" s="1" t="s">
        <v>2300</v>
      </c>
      <c r="D785" s="1"/>
      <c r="E785" s="2" t="s">
        <v>2301</v>
      </c>
      <c r="F785" s="2" t="s">
        <v>2302</v>
      </c>
      <c r="G785" s="2">
        <v>0</v>
      </c>
      <c r="H785" s="2">
        <v>0</v>
      </c>
      <c r="I785" s="1">
        <v>0</v>
      </c>
      <c r="J785" s="3" t="s">
        <v>447</v>
      </c>
      <c r="K785" s="2" t="str">
        <f>J785*212.04</f>
        <v>0</v>
      </c>
      <c r="L785" s="5"/>
    </row>
    <row r="786" spans="1:12" customHeight="1" ht="105" outlineLevel="4">
      <c r="A786" s="1"/>
      <c r="B786" s="1">
        <v>930549</v>
      </c>
      <c r="C786" s="1" t="s">
        <v>2303</v>
      </c>
      <c r="D786" s="1"/>
      <c r="E786" s="2" t="s">
        <v>2304</v>
      </c>
      <c r="F786" s="2" t="s">
        <v>2305</v>
      </c>
      <c r="G786" s="2">
        <v>0</v>
      </c>
      <c r="H786" s="2">
        <v>0</v>
      </c>
      <c r="I786" s="1">
        <v>0</v>
      </c>
      <c r="J786" s="3" t="s">
        <v>447</v>
      </c>
      <c r="K786" s="2" t="str">
        <f>J786*251.37</f>
        <v>0</v>
      </c>
      <c r="L786" s="5"/>
    </row>
    <row r="787" spans="1:12" customHeight="1" ht="105" outlineLevel="4">
      <c r="A787" s="1"/>
      <c r="B787" s="1">
        <v>930550</v>
      </c>
      <c r="C787" s="1" t="s">
        <v>2306</v>
      </c>
      <c r="D787" s="1"/>
      <c r="E787" s="2" t="s">
        <v>2307</v>
      </c>
      <c r="F787" s="2" t="s">
        <v>2308</v>
      </c>
      <c r="G787" s="2">
        <v>0</v>
      </c>
      <c r="H787" s="2">
        <v>0</v>
      </c>
      <c r="I787" s="1">
        <v>0</v>
      </c>
      <c r="J787" s="3" t="s">
        <v>447</v>
      </c>
      <c r="K787" s="2" t="str">
        <f>J787*184.68</f>
        <v>0</v>
      </c>
      <c r="L787" s="5"/>
    </row>
    <row r="788" spans="1:12" customHeight="1" ht="105" outlineLevel="4">
      <c r="A788" s="1"/>
      <c r="B788" s="1">
        <v>930551</v>
      </c>
      <c r="C788" s="1" t="s">
        <v>2309</v>
      </c>
      <c r="D788" s="1"/>
      <c r="E788" s="2" t="s">
        <v>2310</v>
      </c>
      <c r="F788" s="2" t="s">
        <v>2311</v>
      </c>
      <c r="G788" s="2">
        <v>0</v>
      </c>
      <c r="H788" s="2">
        <v>0</v>
      </c>
      <c r="I788" s="1">
        <v>0</v>
      </c>
      <c r="J788" s="3" t="s">
        <v>447</v>
      </c>
      <c r="K788" s="2" t="str">
        <f>J788*239.40</f>
        <v>0</v>
      </c>
      <c r="L788" s="5"/>
    </row>
    <row r="789" spans="1:12" customHeight="1" ht="105" outlineLevel="4">
      <c r="A789" s="1"/>
      <c r="B789" s="1">
        <v>930552</v>
      </c>
      <c r="C789" s="1" t="s">
        <v>2312</v>
      </c>
      <c r="D789" s="1"/>
      <c r="E789" s="2" t="s">
        <v>2313</v>
      </c>
      <c r="F789" s="2" t="s">
        <v>2314</v>
      </c>
      <c r="G789" s="2">
        <v>0</v>
      </c>
      <c r="H789" s="2">
        <v>0</v>
      </c>
      <c r="I789" s="1">
        <v>0</v>
      </c>
      <c r="J789" s="3" t="s">
        <v>447</v>
      </c>
      <c r="K789" s="2" t="str">
        <f>J789*287.28</f>
        <v>0</v>
      </c>
      <c r="L789" s="5"/>
    </row>
    <row r="790" spans="1:12" outlineLevel="2">
      <c r="A790" s="8" t="s">
        <v>2315</v>
      </c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5"/>
    </row>
    <row r="791" spans="1:12" customHeight="1" ht="105" outlineLevel="4">
      <c r="A791" s="1"/>
      <c r="B791" s="1">
        <v>818552</v>
      </c>
      <c r="C791" s="1" t="s">
        <v>2316</v>
      </c>
      <c r="D791" s="1" t="s">
        <v>2317</v>
      </c>
      <c r="E791" s="2" t="s">
        <v>2318</v>
      </c>
      <c r="F791" s="2" t="s">
        <v>2319</v>
      </c>
      <c r="G791" s="2" t="s">
        <v>136</v>
      </c>
      <c r="H791" s="2" t="s">
        <v>222</v>
      </c>
      <c r="I791" s="1">
        <v>0</v>
      </c>
      <c r="J791" s="3" t="s">
        <v>447</v>
      </c>
      <c r="K791" s="2" t="str">
        <f>J791*162.00</f>
        <v>0</v>
      </c>
      <c r="L791" s="5"/>
    </row>
    <row r="792" spans="1:12" customHeight="1" ht="105" outlineLevel="4">
      <c r="A792" s="1"/>
      <c r="B792" s="1">
        <v>818553</v>
      </c>
      <c r="C792" s="1" t="s">
        <v>2320</v>
      </c>
      <c r="D792" s="1" t="s">
        <v>2321</v>
      </c>
      <c r="E792" s="2" t="s">
        <v>2322</v>
      </c>
      <c r="F792" s="2" t="s">
        <v>2323</v>
      </c>
      <c r="G792" s="2" t="s">
        <v>74</v>
      </c>
      <c r="H792" s="2" t="s">
        <v>180</v>
      </c>
      <c r="I792" s="1">
        <v>0</v>
      </c>
      <c r="J792" s="3" t="s">
        <v>447</v>
      </c>
      <c r="K792" s="2" t="str">
        <f>J792*211.00</f>
        <v>0</v>
      </c>
      <c r="L792" s="5"/>
    </row>
    <row r="793" spans="1:12" customHeight="1" ht="105" outlineLevel="4">
      <c r="A793" s="1"/>
      <c r="B793" s="1">
        <v>818554</v>
      </c>
      <c r="C793" s="1" t="s">
        <v>2324</v>
      </c>
      <c r="D793" s="1" t="s">
        <v>2325</v>
      </c>
      <c r="E793" s="2" t="s">
        <v>2326</v>
      </c>
      <c r="F793" s="2" t="s">
        <v>2327</v>
      </c>
      <c r="G793" s="2" t="s">
        <v>74</v>
      </c>
      <c r="H793" s="2" t="s">
        <v>222</v>
      </c>
      <c r="I793" s="1">
        <v>0</v>
      </c>
      <c r="J793" s="3" t="s">
        <v>447</v>
      </c>
      <c r="K793" s="2" t="str">
        <f>J793*166.00</f>
        <v>0</v>
      </c>
      <c r="L793" s="5"/>
    </row>
    <row r="794" spans="1:12" customHeight="1" ht="105" outlineLevel="4">
      <c r="A794" s="1"/>
      <c r="B794" s="1">
        <v>818555</v>
      </c>
      <c r="C794" s="1" t="s">
        <v>2328</v>
      </c>
      <c r="D794" s="1" t="s">
        <v>2329</v>
      </c>
      <c r="E794" s="2" t="s">
        <v>2330</v>
      </c>
      <c r="F794" s="2" t="s">
        <v>2331</v>
      </c>
      <c r="G794" s="2" t="s">
        <v>74</v>
      </c>
      <c r="H794" s="2" t="s">
        <v>222</v>
      </c>
      <c r="I794" s="1">
        <v>0</v>
      </c>
      <c r="J794" s="3" t="s">
        <v>447</v>
      </c>
      <c r="K794" s="2" t="str">
        <f>J794*246.00</f>
        <v>0</v>
      </c>
      <c r="L794" s="5"/>
    </row>
    <row r="795" spans="1:12" customHeight="1" ht="105" outlineLevel="4">
      <c r="A795" s="1"/>
      <c r="B795" s="1">
        <v>903140</v>
      </c>
      <c r="C795" s="1" t="s">
        <v>2332</v>
      </c>
      <c r="D795" s="1" t="s">
        <v>2333</v>
      </c>
      <c r="E795" s="2" t="s">
        <v>2334</v>
      </c>
      <c r="F795" s="2" t="s">
        <v>2335</v>
      </c>
      <c r="G795" s="2" t="s">
        <v>58</v>
      </c>
      <c r="H795" s="2" t="s">
        <v>58</v>
      </c>
      <c r="I795" s="1">
        <v>0</v>
      </c>
      <c r="J795" s="3" t="s">
        <v>447</v>
      </c>
      <c r="K795" s="2" t="str">
        <f>J795*191.00</f>
        <v>0</v>
      </c>
      <c r="L795" s="5"/>
    </row>
    <row r="796" spans="1:12" customHeight="1" ht="105" outlineLevel="4">
      <c r="A796" s="1"/>
      <c r="B796" s="1">
        <v>818557</v>
      </c>
      <c r="C796" s="1" t="s">
        <v>2336</v>
      </c>
      <c r="D796" s="1" t="s">
        <v>2337</v>
      </c>
      <c r="E796" s="2" t="s">
        <v>2338</v>
      </c>
      <c r="F796" s="2" t="s">
        <v>2339</v>
      </c>
      <c r="G796" s="2" t="s">
        <v>74</v>
      </c>
      <c r="H796" s="2" t="s">
        <v>180</v>
      </c>
      <c r="I796" s="1">
        <v>0</v>
      </c>
      <c r="J796" s="3" t="s">
        <v>447</v>
      </c>
      <c r="K796" s="2" t="str">
        <f>J796*262.00</f>
        <v>0</v>
      </c>
      <c r="L796" s="5"/>
    </row>
    <row r="797" spans="1:12" customHeight="1" ht="105" outlineLevel="4">
      <c r="A797" s="1"/>
      <c r="B797" s="1">
        <v>818558</v>
      </c>
      <c r="C797" s="1" t="s">
        <v>2340</v>
      </c>
      <c r="D797" s="1" t="s">
        <v>2341</v>
      </c>
      <c r="E797" s="2" t="s">
        <v>2342</v>
      </c>
      <c r="F797" s="2" t="s">
        <v>2343</v>
      </c>
      <c r="G797" s="2" t="s">
        <v>74</v>
      </c>
      <c r="H797" s="2" t="s">
        <v>180</v>
      </c>
      <c r="I797" s="1">
        <v>0</v>
      </c>
      <c r="J797" s="3" t="s">
        <v>447</v>
      </c>
      <c r="K797" s="2" t="str">
        <f>J797*423.00</f>
        <v>0</v>
      </c>
      <c r="L797" s="5"/>
    </row>
    <row r="798" spans="1:12" customHeight="1" ht="105" outlineLevel="4">
      <c r="A798" s="1"/>
      <c r="B798" s="1">
        <v>818559</v>
      </c>
      <c r="C798" s="1" t="s">
        <v>2344</v>
      </c>
      <c r="D798" s="1" t="s">
        <v>2345</v>
      </c>
      <c r="E798" s="2" t="s">
        <v>2346</v>
      </c>
      <c r="F798" s="2" t="s">
        <v>217</v>
      </c>
      <c r="G798" s="2" t="s">
        <v>136</v>
      </c>
      <c r="H798" s="2" t="s">
        <v>222</v>
      </c>
      <c r="I798" s="1">
        <v>0</v>
      </c>
      <c r="J798" s="3" t="s">
        <v>447</v>
      </c>
      <c r="K798" s="2" t="str">
        <f>J798*117.00</f>
        <v>0</v>
      </c>
      <c r="L798" s="5"/>
    </row>
    <row r="799" spans="1:12" customHeight="1" ht="105" outlineLevel="4">
      <c r="A799" s="1"/>
      <c r="B799" s="1">
        <v>818560</v>
      </c>
      <c r="C799" s="1" t="s">
        <v>2347</v>
      </c>
      <c r="D799" s="1" t="s">
        <v>2348</v>
      </c>
      <c r="E799" s="2" t="s">
        <v>2349</v>
      </c>
      <c r="F799" s="2" t="s">
        <v>2350</v>
      </c>
      <c r="G799" s="2" t="s">
        <v>58</v>
      </c>
      <c r="H799" s="2" t="s">
        <v>136</v>
      </c>
      <c r="I799" s="1">
        <v>0</v>
      </c>
      <c r="J799" s="3" t="s">
        <v>447</v>
      </c>
      <c r="K799" s="2" t="str">
        <f>J799*167.00</f>
        <v>0</v>
      </c>
      <c r="L799" s="5"/>
    </row>
    <row r="800" spans="1:12" customHeight="1" ht="105" outlineLevel="4">
      <c r="A800" s="1"/>
      <c r="B800" s="1">
        <v>818561</v>
      </c>
      <c r="C800" s="1" t="s">
        <v>2351</v>
      </c>
      <c r="D800" s="1" t="s">
        <v>2352</v>
      </c>
      <c r="E800" s="2" t="s">
        <v>2353</v>
      </c>
      <c r="F800" s="2" t="s">
        <v>2354</v>
      </c>
      <c r="G800" s="2" t="s">
        <v>74</v>
      </c>
      <c r="H800" s="2" t="s">
        <v>180</v>
      </c>
      <c r="I800" s="1">
        <v>0</v>
      </c>
      <c r="J800" s="3" t="s">
        <v>447</v>
      </c>
      <c r="K800" s="2" t="str">
        <f>J800*123.00</f>
        <v>0</v>
      </c>
      <c r="L800" s="5"/>
    </row>
    <row r="801" spans="1:12" customHeight="1" ht="105" outlineLevel="4">
      <c r="A801" s="1"/>
      <c r="B801" s="1">
        <v>818562</v>
      </c>
      <c r="C801" s="1" t="s">
        <v>2355</v>
      </c>
      <c r="D801" s="1" t="s">
        <v>2356</v>
      </c>
      <c r="E801" s="2" t="s">
        <v>2357</v>
      </c>
      <c r="F801" s="2" t="s">
        <v>221</v>
      </c>
      <c r="G801" s="2" t="s">
        <v>58</v>
      </c>
      <c r="H801" s="2" t="s">
        <v>222</v>
      </c>
      <c r="I801" s="1">
        <v>0</v>
      </c>
      <c r="J801" s="3" t="s">
        <v>447</v>
      </c>
      <c r="K801" s="2" t="str">
        <f>J801*182.00</f>
        <v>0</v>
      </c>
      <c r="L801" s="5"/>
    </row>
    <row r="802" spans="1:12" customHeight="1" ht="105" outlineLevel="4">
      <c r="A802" s="1"/>
      <c r="B802" s="1">
        <v>903141</v>
      </c>
      <c r="C802" s="1" t="s">
        <v>2358</v>
      </c>
      <c r="D802" s="1" t="s">
        <v>2359</v>
      </c>
      <c r="E802" s="2" t="s">
        <v>2360</v>
      </c>
      <c r="F802" s="2" t="s">
        <v>2361</v>
      </c>
      <c r="G802" s="2" t="s">
        <v>58</v>
      </c>
      <c r="H802" s="2" t="s">
        <v>58</v>
      </c>
      <c r="I802" s="1">
        <v>0</v>
      </c>
      <c r="J802" s="3" t="s">
        <v>447</v>
      </c>
      <c r="K802" s="2" t="str">
        <f>J802*159.00</f>
        <v>0</v>
      </c>
      <c r="L802" s="5"/>
    </row>
    <row r="803" spans="1:12" customHeight="1" ht="105" outlineLevel="4">
      <c r="A803" s="1"/>
      <c r="B803" s="1">
        <v>818564</v>
      </c>
      <c r="C803" s="1" t="s">
        <v>2362</v>
      </c>
      <c r="D803" s="1" t="s">
        <v>2363</v>
      </c>
      <c r="E803" s="2" t="s">
        <v>2364</v>
      </c>
      <c r="F803" s="2" t="s">
        <v>2365</v>
      </c>
      <c r="G803" s="2" t="s">
        <v>74</v>
      </c>
      <c r="H803" s="2" t="s">
        <v>180</v>
      </c>
      <c r="I803" s="1">
        <v>0</v>
      </c>
      <c r="J803" s="3" t="s">
        <v>447</v>
      </c>
      <c r="K803" s="2" t="str">
        <f>J803*187.00</f>
        <v>0</v>
      </c>
      <c r="L803" s="5"/>
    </row>
    <row r="804" spans="1:12" customHeight="1" ht="105" outlineLevel="4">
      <c r="A804" s="1"/>
      <c r="B804" s="1">
        <v>818565</v>
      </c>
      <c r="C804" s="1" t="s">
        <v>2366</v>
      </c>
      <c r="D804" s="1" t="s">
        <v>2367</v>
      </c>
      <c r="E804" s="2" t="s">
        <v>2368</v>
      </c>
      <c r="F804" s="2" t="s">
        <v>226</v>
      </c>
      <c r="G804" s="2" t="s">
        <v>74</v>
      </c>
      <c r="H804" s="2" t="s">
        <v>180</v>
      </c>
      <c r="I804" s="1">
        <v>0</v>
      </c>
      <c r="J804" s="3" t="s">
        <v>447</v>
      </c>
      <c r="K804" s="2" t="str">
        <f>J804*298.00</f>
        <v>0</v>
      </c>
      <c r="L804" s="5"/>
    </row>
    <row r="805" spans="1:12" customHeight="1" ht="105" outlineLevel="4">
      <c r="A805" s="1"/>
      <c r="B805" s="1">
        <v>818566</v>
      </c>
      <c r="C805" s="1" t="s">
        <v>2369</v>
      </c>
      <c r="D805" s="1" t="s">
        <v>2370</v>
      </c>
      <c r="E805" s="2" t="s">
        <v>2371</v>
      </c>
      <c r="F805" s="2" t="s">
        <v>2372</v>
      </c>
      <c r="G805" s="2" t="s">
        <v>180</v>
      </c>
      <c r="H805" s="2" t="s">
        <v>222</v>
      </c>
      <c r="I805" s="1">
        <v>0</v>
      </c>
      <c r="J805" s="3" t="s">
        <v>447</v>
      </c>
      <c r="K805" s="2" t="str">
        <f>J805*12.00</f>
        <v>0</v>
      </c>
      <c r="L805" s="5"/>
    </row>
    <row r="806" spans="1:12" customHeight="1" ht="105" outlineLevel="4">
      <c r="A806" s="1"/>
      <c r="B806" s="1">
        <v>903142</v>
      </c>
      <c r="C806" s="1" t="s">
        <v>2373</v>
      </c>
      <c r="D806" s="1" t="s">
        <v>2374</v>
      </c>
      <c r="E806" s="2" t="s">
        <v>2375</v>
      </c>
      <c r="F806" s="2" t="s">
        <v>2376</v>
      </c>
      <c r="G806" s="2" t="s">
        <v>136</v>
      </c>
      <c r="H806" s="2" t="s">
        <v>222</v>
      </c>
      <c r="I806" s="1">
        <v>0</v>
      </c>
      <c r="J806" s="3" t="s">
        <v>447</v>
      </c>
      <c r="K806" s="2" t="str">
        <f>J806*15.00</f>
        <v>0</v>
      </c>
      <c r="L806" s="5"/>
    </row>
    <row r="807" spans="1:12" customHeight="1" ht="105" outlineLevel="4">
      <c r="A807" s="1"/>
      <c r="B807" s="1">
        <v>818568</v>
      </c>
      <c r="C807" s="1" t="s">
        <v>2377</v>
      </c>
      <c r="D807" s="1" t="s">
        <v>2378</v>
      </c>
      <c r="E807" s="2" t="s">
        <v>2379</v>
      </c>
      <c r="F807" s="2" t="s">
        <v>2380</v>
      </c>
      <c r="G807" s="2" t="s">
        <v>58</v>
      </c>
      <c r="H807" s="2" t="s">
        <v>222</v>
      </c>
      <c r="I807" s="1">
        <v>0</v>
      </c>
      <c r="J807" s="3" t="s">
        <v>447</v>
      </c>
      <c r="K807" s="2" t="str">
        <f>J807*24.00</f>
        <v>0</v>
      </c>
      <c r="L807" s="5"/>
    </row>
    <row r="808" spans="1:12" customHeight="1" ht="105" outlineLevel="4">
      <c r="A808" s="1"/>
      <c r="B808" s="1">
        <v>903143</v>
      </c>
      <c r="C808" s="1" t="s">
        <v>2381</v>
      </c>
      <c r="D808" s="1" t="s">
        <v>2382</v>
      </c>
      <c r="E808" s="2" t="s">
        <v>2383</v>
      </c>
      <c r="F808" s="2" t="s">
        <v>2384</v>
      </c>
      <c r="G808" s="2" t="s">
        <v>74</v>
      </c>
      <c r="H808" s="2" t="s">
        <v>180</v>
      </c>
      <c r="I808" s="1">
        <v>0</v>
      </c>
      <c r="J808" s="3" t="s">
        <v>447</v>
      </c>
      <c r="K808" s="2" t="str">
        <f>J808*43.00</f>
        <v>0</v>
      </c>
      <c r="L808" s="5"/>
    </row>
    <row r="809" spans="1:12" customHeight="1" ht="105" outlineLevel="4">
      <c r="A809" s="1"/>
      <c r="B809" s="1">
        <v>903144</v>
      </c>
      <c r="C809" s="1" t="s">
        <v>2385</v>
      </c>
      <c r="D809" s="1" t="s">
        <v>2386</v>
      </c>
      <c r="E809" s="2" t="s">
        <v>2387</v>
      </c>
      <c r="F809" s="2" t="s">
        <v>2388</v>
      </c>
      <c r="G809" s="2" t="s">
        <v>153</v>
      </c>
      <c r="H809" s="2" t="s">
        <v>136</v>
      </c>
      <c r="I809" s="1">
        <v>0</v>
      </c>
      <c r="J809" s="3" t="s">
        <v>447</v>
      </c>
      <c r="K809" s="2" t="str">
        <f>J809*71.00</f>
        <v>0</v>
      </c>
      <c r="L809" s="5"/>
    </row>
    <row r="810" spans="1:12" customHeight="1" ht="105" outlineLevel="4">
      <c r="A810" s="1"/>
      <c r="B810" s="1">
        <v>903145</v>
      </c>
      <c r="C810" s="1" t="s">
        <v>2389</v>
      </c>
      <c r="D810" s="1" t="s">
        <v>2390</v>
      </c>
      <c r="E810" s="2" t="s">
        <v>2391</v>
      </c>
      <c r="F810" s="2" t="s">
        <v>382</v>
      </c>
      <c r="G810" s="2">
        <v>2</v>
      </c>
      <c r="H810" s="2" t="s">
        <v>136</v>
      </c>
      <c r="I810" s="1">
        <v>0</v>
      </c>
      <c r="J810" s="3" t="s">
        <v>447</v>
      </c>
      <c r="K810" s="2" t="str">
        <f>J810*140.00</f>
        <v>0</v>
      </c>
      <c r="L810" s="5"/>
    </row>
    <row r="811" spans="1:12" customHeight="1" ht="105" outlineLevel="4">
      <c r="A811" s="1"/>
      <c r="B811" s="1">
        <v>903146</v>
      </c>
      <c r="C811" s="1" t="s">
        <v>2392</v>
      </c>
      <c r="D811" s="1" t="s">
        <v>2393</v>
      </c>
      <c r="E811" s="2" t="s">
        <v>2394</v>
      </c>
      <c r="F811" s="2" t="s">
        <v>2395</v>
      </c>
      <c r="G811" s="2">
        <v>0</v>
      </c>
      <c r="H811" s="2" t="s">
        <v>136</v>
      </c>
      <c r="I811" s="1">
        <v>0</v>
      </c>
      <c r="J811" s="3" t="s">
        <v>447</v>
      </c>
      <c r="K811" s="2" t="str">
        <f>J811*274.00</f>
        <v>0</v>
      </c>
      <c r="L811" s="5"/>
    </row>
    <row r="812" spans="1:12" customHeight="1" ht="105" outlineLevel="4">
      <c r="A812" s="1"/>
      <c r="B812" s="1">
        <v>903147</v>
      </c>
      <c r="C812" s="1" t="s">
        <v>2396</v>
      </c>
      <c r="D812" s="1" t="s">
        <v>2397</v>
      </c>
      <c r="E812" s="2" t="s">
        <v>2398</v>
      </c>
      <c r="F812" s="2" t="s">
        <v>2399</v>
      </c>
      <c r="G812" s="2">
        <v>2</v>
      </c>
      <c r="H812" s="2" t="s">
        <v>58</v>
      </c>
      <c r="I812" s="1">
        <v>0</v>
      </c>
      <c r="J812" s="3" t="s">
        <v>447</v>
      </c>
      <c r="K812" s="2" t="str">
        <f>J812*445.00</f>
        <v>0</v>
      </c>
      <c r="L812" s="5"/>
    </row>
    <row r="813" spans="1:12" customHeight="1" ht="105" outlineLevel="4">
      <c r="A813" s="1"/>
      <c r="B813" s="1">
        <v>818574</v>
      </c>
      <c r="C813" s="1" t="s">
        <v>2400</v>
      </c>
      <c r="D813" s="1" t="s">
        <v>2401</v>
      </c>
      <c r="E813" s="2" t="s">
        <v>2402</v>
      </c>
      <c r="F813" s="2" t="s">
        <v>2403</v>
      </c>
      <c r="G813" s="2" t="s">
        <v>74</v>
      </c>
      <c r="H813" s="2" t="s">
        <v>58</v>
      </c>
      <c r="I813" s="1">
        <v>0</v>
      </c>
      <c r="J813" s="3" t="s">
        <v>447</v>
      </c>
      <c r="K813" s="2" t="str">
        <f>J813*13.00</f>
        <v>0</v>
      </c>
      <c r="L813" s="5"/>
    </row>
    <row r="814" spans="1:12" customHeight="1" ht="105" outlineLevel="4">
      <c r="A814" s="1"/>
      <c r="B814" s="1">
        <v>818575</v>
      </c>
      <c r="C814" s="1" t="s">
        <v>2404</v>
      </c>
      <c r="D814" s="1" t="s">
        <v>2405</v>
      </c>
      <c r="E814" s="2" t="s">
        <v>2406</v>
      </c>
      <c r="F814" s="2" t="s">
        <v>1585</v>
      </c>
      <c r="G814" s="2" t="s">
        <v>74</v>
      </c>
      <c r="H814" s="2" t="s">
        <v>136</v>
      </c>
      <c r="I814" s="1">
        <v>0</v>
      </c>
      <c r="J814" s="3" t="s">
        <v>447</v>
      </c>
      <c r="K814" s="2" t="str">
        <f>J814*14.00</f>
        <v>0</v>
      </c>
      <c r="L814" s="5"/>
    </row>
    <row r="815" spans="1:12" customHeight="1" ht="105" outlineLevel="4">
      <c r="A815" s="1"/>
      <c r="B815" s="1">
        <v>818576</v>
      </c>
      <c r="C815" s="1" t="s">
        <v>2407</v>
      </c>
      <c r="D815" s="1" t="s">
        <v>2408</v>
      </c>
      <c r="E815" s="2" t="s">
        <v>2409</v>
      </c>
      <c r="F815" s="2" t="s">
        <v>2410</v>
      </c>
      <c r="G815" s="2" t="s">
        <v>74</v>
      </c>
      <c r="H815" s="2" t="s">
        <v>180</v>
      </c>
      <c r="I815" s="1">
        <v>0</v>
      </c>
      <c r="J815" s="3" t="s">
        <v>447</v>
      </c>
      <c r="K815" s="2" t="str">
        <f>J815*17.00</f>
        <v>0</v>
      </c>
      <c r="L815" s="5"/>
    </row>
    <row r="816" spans="1:12" customHeight="1" ht="105" outlineLevel="4">
      <c r="A816" s="1"/>
      <c r="B816" s="1">
        <v>903148</v>
      </c>
      <c r="C816" s="1" t="s">
        <v>2411</v>
      </c>
      <c r="D816" s="1" t="s">
        <v>2412</v>
      </c>
      <c r="E816" s="2" t="s">
        <v>2413</v>
      </c>
      <c r="F816" s="2" t="s">
        <v>2414</v>
      </c>
      <c r="G816" s="2" t="s">
        <v>153</v>
      </c>
      <c r="H816" s="2" t="s">
        <v>58</v>
      </c>
      <c r="I816" s="1">
        <v>0</v>
      </c>
      <c r="J816" s="3" t="s">
        <v>447</v>
      </c>
      <c r="K816" s="2" t="str">
        <f>J816*23.00</f>
        <v>0</v>
      </c>
      <c r="L816" s="5"/>
    </row>
    <row r="817" spans="1:12" customHeight="1" ht="105" outlineLevel="4">
      <c r="A817" s="1"/>
      <c r="B817" s="1">
        <v>903149</v>
      </c>
      <c r="C817" s="1" t="s">
        <v>2415</v>
      </c>
      <c r="D817" s="1" t="s">
        <v>2416</v>
      </c>
      <c r="E817" s="2" t="s">
        <v>2417</v>
      </c>
      <c r="F817" s="2" t="s">
        <v>2418</v>
      </c>
      <c r="G817" s="2" t="s">
        <v>153</v>
      </c>
      <c r="H817" s="2" t="s">
        <v>58</v>
      </c>
      <c r="I817" s="1">
        <v>0</v>
      </c>
      <c r="J817" s="3" t="s">
        <v>447</v>
      </c>
      <c r="K817" s="2" t="str">
        <f>J817*25.00</f>
        <v>0</v>
      </c>
      <c r="L817" s="5"/>
    </row>
    <row r="818" spans="1:12" customHeight="1" ht="105" outlineLevel="4">
      <c r="A818" s="1"/>
      <c r="B818" s="1">
        <v>903150</v>
      </c>
      <c r="C818" s="1" t="s">
        <v>2419</v>
      </c>
      <c r="D818" s="1" t="s">
        <v>2420</v>
      </c>
      <c r="E818" s="2" t="s">
        <v>2421</v>
      </c>
      <c r="F818" s="2" t="s">
        <v>2422</v>
      </c>
      <c r="G818" s="2" t="s">
        <v>152</v>
      </c>
      <c r="H818" s="2" t="s">
        <v>136</v>
      </c>
      <c r="I818" s="1">
        <v>0</v>
      </c>
      <c r="J818" s="3" t="s">
        <v>447</v>
      </c>
      <c r="K818" s="2" t="str">
        <f>J818*28.00</f>
        <v>0</v>
      </c>
      <c r="L818" s="5"/>
    </row>
    <row r="819" spans="1:12" customHeight="1" ht="105" outlineLevel="4">
      <c r="A819" s="1"/>
      <c r="B819" s="1">
        <v>903151</v>
      </c>
      <c r="C819" s="1" t="s">
        <v>2423</v>
      </c>
      <c r="D819" s="1" t="s">
        <v>2424</v>
      </c>
      <c r="E819" s="2" t="s">
        <v>2425</v>
      </c>
      <c r="F819" s="2" t="s">
        <v>2426</v>
      </c>
      <c r="G819" s="2" t="s">
        <v>74</v>
      </c>
      <c r="H819" s="2" t="s">
        <v>58</v>
      </c>
      <c r="I819" s="1">
        <v>0</v>
      </c>
      <c r="J819" s="3" t="s">
        <v>447</v>
      </c>
      <c r="K819" s="2" t="str">
        <f>J819*35.00</f>
        <v>0</v>
      </c>
      <c r="L819" s="5"/>
    </row>
    <row r="820" spans="1:12" customHeight="1" ht="105" outlineLevel="4">
      <c r="A820" s="1"/>
      <c r="B820" s="1">
        <v>903152</v>
      </c>
      <c r="C820" s="1" t="s">
        <v>2427</v>
      </c>
      <c r="D820" s="1" t="s">
        <v>2428</v>
      </c>
      <c r="E820" s="2" t="s">
        <v>2429</v>
      </c>
      <c r="F820" s="2" t="s">
        <v>2430</v>
      </c>
      <c r="G820" s="2">
        <v>9</v>
      </c>
      <c r="H820" s="2" t="s">
        <v>58</v>
      </c>
      <c r="I820" s="1">
        <v>0</v>
      </c>
      <c r="J820" s="3" t="s">
        <v>447</v>
      </c>
      <c r="K820" s="2" t="str">
        <f>J820*40.00</f>
        <v>0</v>
      </c>
      <c r="L820" s="5"/>
    </row>
    <row r="821" spans="1:12" customHeight="1" ht="105" outlineLevel="4">
      <c r="A821" s="1"/>
      <c r="B821" s="1">
        <v>903153</v>
      </c>
      <c r="C821" s="1" t="s">
        <v>2431</v>
      </c>
      <c r="D821" s="1" t="s">
        <v>2432</v>
      </c>
      <c r="E821" s="2" t="s">
        <v>2433</v>
      </c>
      <c r="F821" s="2" t="s">
        <v>2434</v>
      </c>
      <c r="G821" s="2" t="s">
        <v>153</v>
      </c>
      <c r="H821" s="2" t="s">
        <v>74</v>
      </c>
      <c r="I821" s="1">
        <v>0</v>
      </c>
      <c r="J821" s="3" t="s">
        <v>447</v>
      </c>
      <c r="K821" s="2" t="str">
        <f>J821*44.00</f>
        <v>0</v>
      </c>
      <c r="L821" s="5"/>
    </row>
    <row r="822" spans="1:12" customHeight="1" ht="105" outlineLevel="4">
      <c r="A822" s="1"/>
      <c r="B822" s="1">
        <v>903154</v>
      </c>
      <c r="C822" s="1" t="s">
        <v>2435</v>
      </c>
      <c r="D822" s="1" t="s">
        <v>2436</v>
      </c>
      <c r="E822" s="2" t="s">
        <v>2437</v>
      </c>
      <c r="F822" s="2" t="s">
        <v>2438</v>
      </c>
      <c r="G822" s="2" t="s">
        <v>153</v>
      </c>
      <c r="H822" s="2" t="s">
        <v>58</v>
      </c>
      <c r="I822" s="1">
        <v>0</v>
      </c>
      <c r="J822" s="3" t="s">
        <v>447</v>
      </c>
      <c r="K822" s="2" t="str">
        <f>J822*53.00</f>
        <v>0</v>
      </c>
      <c r="L822" s="5"/>
    </row>
    <row r="823" spans="1:12" customHeight="1" ht="105" outlineLevel="4">
      <c r="A823" s="1"/>
      <c r="B823" s="1">
        <v>903155</v>
      </c>
      <c r="C823" s="1" t="s">
        <v>2439</v>
      </c>
      <c r="D823" s="1" t="s">
        <v>2440</v>
      </c>
      <c r="E823" s="2" t="s">
        <v>2441</v>
      </c>
      <c r="F823" s="2" t="s">
        <v>2442</v>
      </c>
      <c r="G823" s="2">
        <v>2</v>
      </c>
      <c r="H823" s="2" t="s">
        <v>58</v>
      </c>
      <c r="I823" s="1">
        <v>0</v>
      </c>
      <c r="J823" s="3" t="s">
        <v>447</v>
      </c>
      <c r="K823" s="2" t="str">
        <f>J823*65.00</f>
        <v>0</v>
      </c>
      <c r="L823" s="5"/>
    </row>
    <row r="824" spans="1:12" customHeight="1" ht="105" outlineLevel="4">
      <c r="A824" s="1"/>
      <c r="B824" s="1">
        <v>903156</v>
      </c>
      <c r="C824" s="1" t="s">
        <v>2443</v>
      </c>
      <c r="D824" s="1" t="s">
        <v>2444</v>
      </c>
      <c r="E824" s="2" t="s">
        <v>2445</v>
      </c>
      <c r="F824" s="2" t="s">
        <v>2446</v>
      </c>
      <c r="G824" s="2">
        <v>5</v>
      </c>
      <c r="H824" s="2" t="s">
        <v>58</v>
      </c>
      <c r="I824" s="1">
        <v>0</v>
      </c>
      <c r="J824" s="3" t="s">
        <v>447</v>
      </c>
      <c r="K824" s="2" t="str">
        <f>J824*58.00</f>
        <v>0</v>
      </c>
      <c r="L824" s="5"/>
    </row>
    <row r="825" spans="1:12" customHeight="1" ht="105" outlineLevel="4">
      <c r="A825" s="1"/>
      <c r="B825" s="1">
        <v>903157</v>
      </c>
      <c r="C825" s="1" t="s">
        <v>2447</v>
      </c>
      <c r="D825" s="1" t="s">
        <v>2448</v>
      </c>
      <c r="E825" s="2" t="s">
        <v>2449</v>
      </c>
      <c r="F825" s="2" t="s">
        <v>2450</v>
      </c>
      <c r="G825" s="2">
        <v>3</v>
      </c>
      <c r="H825" s="2" t="s">
        <v>74</v>
      </c>
      <c r="I825" s="1">
        <v>0</v>
      </c>
      <c r="J825" s="3" t="s">
        <v>447</v>
      </c>
      <c r="K825" s="2" t="str">
        <f>J825*61.00</f>
        <v>0</v>
      </c>
      <c r="L825" s="5"/>
    </row>
    <row r="826" spans="1:12" customHeight="1" ht="105" outlineLevel="4">
      <c r="A826" s="1"/>
      <c r="B826" s="1">
        <v>903158</v>
      </c>
      <c r="C826" s="1" t="s">
        <v>2451</v>
      </c>
      <c r="D826" s="1" t="s">
        <v>2452</v>
      </c>
      <c r="E826" s="2" t="s">
        <v>2453</v>
      </c>
      <c r="F826" s="2" t="s">
        <v>2454</v>
      </c>
      <c r="G826" s="2">
        <v>0</v>
      </c>
      <c r="H826" s="2" t="s">
        <v>152</v>
      </c>
      <c r="I826" s="1">
        <v>0</v>
      </c>
      <c r="J826" s="3" t="s">
        <v>447</v>
      </c>
      <c r="K826" s="2" t="str">
        <f>J826*75.00</f>
        <v>0</v>
      </c>
      <c r="L826" s="5"/>
    </row>
    <row r="827" spans="1:12" customHeight="1" ht="105" outlineLevel="4">
      <c r="A827" s="1"/>
      <c r="B827" s="1">
        <v>903159</v>
      </c>
      <c r="C827" s="1" t="s">
        <v>2455</v>
      </c>
      <c r="D827" s="1" t="s">
        <v>2456</v>
      </c>
      <c r="E827" s="2" t="s">
        <v>2457</v>
      </c>
      <c r="F827" s="2" t="s">
        <v>2458</v>
      </c>
      <c r="G827" s="2">
        <v>0</v>
      </c>
      <c r="H827" s="2" t="s">
        <v>152</v>
      </c>
      <c r="I827" s="1">
        <v>0</v>
      </c>
      <c r="J827" s="3" t="s">
        <v>447</v>
      </c>
      <c r="K827" s="2" t="str">
        <f>J827*87.00</f>
        <v>0</v>
      </c>
      <c r="L827" s="5"/>
    </row>
    <row r="828" spans="1:12" customHeight="1" ht="105" outlineLevel="4">
      <c r="A828" s="1"/>
      <c r="B828" s="1">
        <v>903160</v>
      </c>
      <c r="C828" s="1" t="s">
        <v>2459</v>
      </c>
      <c r="D828" s="1" t="s">
        <v>2460</v>
      </c>
      <c r="E828" s="2" t="s">
        <v>2461</v>
      </c>
      <c r="F828" s="2" t="s">
        <v>2462</v>
      </c>
      <c r="G828" s="2">
        <v>0</v>
      </c>
      <c r="H828" s="2" t="s">
        <v>74</v>
      </c>
      <c r="I828" s="1">
        <v>0</v>
      </c>
      <c r="J828" s="3" t="s">
        <v>447</v>
      </c>
      <c r="K828" s="2" t="str">
        <f>J828*116.00</f>
        <v>0</v>
      </c>
      <c r="L828" s="5"/>
    </row>
    <row r="829" spans="1:12" customHeight="1" ht="105" outlineLevel="4">
      <c r="A829" s="1"/>
      <c r="B829" s="1">
        <v>903161</v>
      </c>
      <c r="C829" s="1" t="s">
        <v>2463</v>
      </c>
      <c r="D829" s="1" t="s">
        <v>2464</v>
      </c>
      <c r="E829" s="2" t="s">
        <v>2465</v>
      </c>
      <c r="F829" s="2" t="s">
        <v>2466</v>
      </c>
      <c r="G829" s="2">
        <v>0</v>
      </c>
      <c r="H829" s="2" t="s">
        <v>74</v>
      </c>
      <c r="I829" s="1">
        <v>0</v>
      </c>
      <c r="J829" s="3" t="s">
        <v>447</v>
      </c>
      <c r="K829" s="2" t="str">
        <f>J829*175.00</f>
        <v>0</v>
      </c>
      <c r="L829" s="5"/>
    </row>
    <row r="830" spans="1:12" customHeight="1" ht="105" outlineLevel="4">
      <c r="A830" s="1"/>
      <c r="B830" s="1">
        <v>903162</v>
      </c>
      <c r="C830" s="1" t="s">
        <v>2467</v>
      </c>
      <c r="D830" s="1" t="s">
        <v>2468</v>
      </c>
      <c r="E830" s="2" t="s">
        <v>2469</v>
      </c>
      <c r="F830" s="2" t="s">
        <v>2470</v>
      </c>
      <c r="G830" s="2">
        <v>0</v>
      </c>
      <c r="H830" s="2" t="s">
        <v>74</v>
      </c>
      <c r="I830" s="1">
        <v>0</v>
      </c>
      <c r="J830" s="3" t="s">
        <v>447</v>
      </c>
      <c r="K830" s="2" t="str">
        <f>J830*232.00</f>
        <v>0</v>
      </c>
      <c r="L830" s="5"/>
    </row>
    <row r="831" spans="1:12" customHeight="1" ht="105" outlineLevel="4">
      <c r="A831" s="1"/>
      <c r="B831" s="1">
        <v>903163</v>
      </c>
      <c r="C831" s="1" t="s">
        <v>2471</v>
      </c>
      <c r="D831" s="1" t="s">
        <v>2472</v>
      </c>
      <c r="E831" s="2" t="s">
        <v>2473</v>
      </c>
      <c r="F831" s="2" t="s">
        <v>2474</v>
      </c>
      <c r="G831" s="2">
        <v>0</v>
      </c>
      <c r="H831" s="2" t="s">
        <v>153</v>
      </c>
      <c r="I831" s="1">
        <v>0</v>
      </c>
      <c r="J831" s="3" t="s">
        <v>447</v>
      </c>
      <c r="K831" s="2" t="str">
        <f>J831*226.00</f>
        <v>0</v>
      </c>
      <c r="L831" s="5"/>
    </row>
    <row r="832" spans="1:12" customHeight="1" ht="105" outlineLevel="4">
      <c r="A832" s="1"/>
      <c r="B832" s="1">
        <v>818593</v>
      </c>
      <c r="C832" s="1" t="s">
        <v>2475</v>
      </c>
      <c r="D832" s="1" t="s">
        <v>2476</v>
      </c>
      <c r="E832" s="2" t="s">
        <v>2477</v>
      </c>
      <c r="F832" s="2" t="s">
        <v>2403</v>
      </c>
      <c r="G832" s="2" t="s">
        <v>58</v>
      </c>
      <c r="H832" s="2" t="s">
        <v>222</v>
      </c>
      <c r="I832" s="1">
        <v>0</v>
      </c>
      <c r="J832" s="3" t="s">
        <v>447</v>
      </c>
      <c r="K832" s="2" t="str">
        <f>J832*13.00</f>
        <v>0</v>
      </c>
      <c r="L832" s="5"/>
    </row>
    <row r="833" spans="1:12" customHeight="1" ht="105" outlineLevel="4">
      <c r="A833" s="1"/>
      <c r="B833" s="1">
        <v>903164</v>
      </c>
      <c r="C833" s="1" t="s">
        <v>2478</v>
      </c>
      <c r="D833" s="1" t="s">
        <v>2479</v>
      </c>
      <c r="E833" s="2" t="s">
        <v>2480</v>
      </c>
      <c r="F833" s="2" t="s">
        <v>2481</v>
      </c>
      <c r="G833" s="2" t="s">
        <v>58</v>
      </c>
      <c r="H833" s="2" t="s">
        <v>180</v>
      </c>
      <c r="I833" s="1">
        <v>0</v>
      </c>
      <c r="J833" s="3" t="s">
        <v>447</v>
      </c>
      <c r="K833" s="2" t="str">
        <f>J833*18.00</f>
        <v>0</v>
      </c>
      <c r="L833" s="5"/>
    </row>
    <row r="834" spans="1:12" customHeight="1" ht="105" outlineLevel="4">
      <c r="A834" s="1"/>
      <c r="B834" s="1">
        <v>903165</v>
      </c>
      <c r="C834" s="1" t="s">
        <v>2482</v>
      </c>
      <c r="D834" s="1" t="s">
        <v>2483</v>
      </c>
      <c r="E834" s="2" t="s">
        <v>2484</v>
      </c>
      <c r="F834" s="2" t="s">
        <v>1719</v>
      </c>
      <c r="G834" s="2" t="s">
        <v>58</v>
      </c>
      <c r="H834" s="2" t="s">
        <v>180</v>
      </c>
      <c r="I834" s="1">
        <v>0</v>
      </c>
      <c r="J834" s="3" t="s">
        <v>447</v>
      </c>
      <c r="K834" s="2" t="str">
        <f>J834*21.00</f>
        <v>0</v>
      </c>
      <c r="L834" s="5"/>
    </row>
    <row r="835" spans="1:12" customHeight="1" ht="105" outlineLevel="4">
      <c r="A835" s="1"/>
      <c r="B835" s="1">
        <v>903166</v>
      </c>
      <c r="C835" s="1" t="s">
        <v>2485</v>
      </c>
      <c r="D835" s="1" t="s">
        <v>2486</v>
      </c>
      <c r="E835" s="2" t="s">
        <v>2487</v>
      </c>
      <c r="F835" s="2" t="s">
        <v>2488</v>
      </c>
      <c r="G835" s="2" t="s">
        <v>74</v>
      </c>
      <c r="H835" s="2" t="s">
        <v>58</v>
      </c>
      <c r="I835" s="1">
        <v>0</v>
      </c>
      <c r="J835" s="3" t="s">
        <v>447</v>
      </c>
      <c r="K835" s="2" t="str">
        <f>J835*31.00</f>
        <v>0</v>
      </c>
      <c r="L835" s="5"/>
    </row>
    <row r="836" spans="1:12" customHeight="1" ht="105" outlineLevel="4">
      <c r="A836" s="1"/>
      <c r="B836" s="1">
        <v>903167</v>
      </c>
      <c r="C836" s="1" t="s">
        <v>2489</v>
      </c>
      <c r="D836" s="1" t="s">
        <v>2490</v>
      </c>
      <c r="E836" s="2" t="s">
        <v>2491</v>
      </c>
      <c r="F836" s="2" t="s">
        <v>2492</v>
      </c>
      <c r="G836" s="2" t="s">
        <v>153</v>
      </c>
      <c r="H836" s="2" t="s">
        <v>58</v>
      </c>
      <c r="I836" s="1">
        <v>0</v>
      </c>
      <c r="J836" s="3" t="s">
        <v>447</v>
      </c>
      <c r="K836" s="2" t="str">
        <f>J836*32.00</f>
        <v>0</v>
      </c>
      <c r="L836" s="5"/>
    </row>
    <row r="837" spans="1:12" customHeight="1" ht="105" outlineLevel="4">
      <c r="A837" s="1"/>
      <c r="B837" s="1">
        <v>903168</v>
      </c>
      <c r="C837" s="1" t="s">
        <v>2493</v>
      </c>
      <c r="D837" s="1" t="s">
        <v>2494</v>
      </c>
      <c r="E837" s="2" t="s">
        <v>2495</v>
      </c>
      <c r="F837" s="2" t="s">
        <v>2426</v>
      </c>
      <c r="G837" s="2" t="s">
        <v>153</v>
      </c>
      <c r="H837" s="2" t="s">
        <v>180</v>
      </c>
      <c r="I837" s="1">
        <v>0</v>
      </c>
      <c r="J837" s="3" t="s">
        <v>447</v>
      </c>
      <c r="K837" s="2" t="str">
        <f>J837*35.00</f>
        <v>0</v>
      </c>
      <c r="L837" s="5"/>
    </row>
    <row r="838" spans="1:12" customHeight="1" ht="105" outlineLevel="4">
      <c r="A838" s="1"/>
      <c r="B838" s="1">
        <v>903169</v>
      </c>
      <c r="C838" s="1" t="s">
        <v>2496</v>
      </c>
      <c r="D838" s="1" t="s">
        <v>2497</v>
      </c>
      <c r="E838" s="2" t="s">
        <v>2498</v>
      </c>
      <c r="F838" s="2" t="s">
        <v>2499</v>
      </c>
      <c r="G838" s="2" t="s">
        <v>74</v>
      </c>
      <c r="H838" s="2" t="s">
        <v>58</v>
      </c>
      <c r="I838" s="1">
        <v>0</v>
      </c>
      <c r="J838" s="3" t="s">
        <v>447</v>
      </c>
      <c r="K838" s="2" t="str">
        <f>J838*52.00</f>
        <v>0</v>
      </c>
      <c r="L838" s="5"/>
    </row>
    <row r="839" spans="1:12" customHeight="1" ht="105" outlineLevel="4">
      <c r="A839" s="1"/>
      <c r="B839" s="1">
        <v>903170</v>
      </c>
      <c r="C839" s="1" t="s">
        <v>2500</v>
      </c>
      <c r="D839" s="1" t="s">
        <v>2501</v>
      </c>
      <c r="E839" s="2" t="s">
        <v>2502</v>
      </c>
      <c r="F839" s="2" t="s">
        <v>2503</v>
      </c>
      <c r="G839" s="2" t="s">
        <v>153</v>
      </c>
      <c r="H839" s="2" t="s">
        <v>58</v>
      </c>
      <c r="I839" s="1">
        <v>0</v>
      </c>
      <c r="J839" s="3" t="s">
        <v>447</v>
      </c>
      <c r="K839" s="2" t="str">
        <f>J839*49.00</f>
        <v>0</v>
      </c>
      <c r="L839" s="5"/>
    </row>
    <row r="840" spans="1:12" customHeight="1" ht="105" outlineLevel="4">
      <c r="A840" s="1"/>
      <c r="B840" s="1">
        <v>903171</v>
      </c>
      <c r="C840" s="1" t="s">
        <v>2504</v>
      </c>
      <c r="D840" s="1" t="s">
        <v>2505</v>
      </c>
      <c r="E840" s="2" t="s">
        <v>2506</v>
      </c>
      <c r="F840" s="2" t="s">
        <v>2507</v>
      </c>
      <c r="G840" s="2" t="s">
        <v>153</v>
      </c>
      <c r="H840" s="2" t="s">
        <v>58</v>
      </c>
      <c r="I840" s="1">
        <v>0</v>
      </c>
      <c r="J840" s="3" t="s">
        <v>447</v>
      </c>
      <c r="K840" s="2" t="str">
        <f>J840*60.00</f>
        <v>0</v>
      </c>
      <c r="L840" s="5"/>
    </row>
    <row r="841" spans="1:12" customHeight="1" ht="105" outlineLevel="4">
      <c r="A841" s="1"/>
      <c r="B841" s="1">
        <v>903172</v>
      </c>
      <c r="C841" s="1" t="s">
        <v>2508</v>
      </c>
      <c r="D841" s="1" t="s">
        <v>2509</v>
      </c>
      <c r="E841" s="2" t="s">
        <v>2510</v>
      </c>
      <c r="F841" s="2" t="s">
        <v>2450</v>
      </c>
      <c r="G841" s="2" t="s">
        <v>153</v>
      </c>
      <c r="H841" s="2" t="s">
        <v>58</v>
      </c>
      <c r="I841" s="1">
        <v>0</v>
      </c>
      <c r="J841" s="3" t="s">
        <v>447</v>
      </c>
      <c r="K841" s="2" t="str">
        <f>J841*61.00</f>
        <v>0</v>
      </c>
      <c r="L841" s="5"/>
    </row>
    <row r="842" spans="1:12" customHeight="1" ht="105" outlineLevel="4">
      <c r="A842" s="1"/>
      <c r="B842" s="1">
        <v>903173</v>
      </c>
      <c r="C842" s="1" t="s">
        <v>2511</v>
      </c>
      <c r="D842" s="1" t="s">
        <v>2512</v>
      </c>
      <c r="E842" s="2" t="s">
        <v>2513</v>
      </c>
      <c r="F842" s="2" t="s">
        <v>2514</v>
      </c>
      <c r="G842" s="2">
        <v>0</v>
      </c>
      <c r="H842" s="2" t="s">
        <v>74</v>
      </c>
      <c r="I842" s="1">
        <v>0</v>
      </c>
      <c r="J842" s="3" t="s">
        <v>447</v>
      </c>
      <c r="K842" s="2" t="str">
        <f>J842*86.00</f>
        <v>0</v>
      </c>
      <c r="L842" s="5"/>
    </row>
    <row r="843" spans="1:12" customHeight="1" ht="105" outlineLevel="4">
      <c r="A843" s="1"/>
      <c r="B843" s="1">
        <v>903174</v>
      </c>
      <c r="C843" s="1" t="s">
        <v>2515</v>
      </c>
      <c r="D843" s="1" t="s">
        <v>2516</v>
      </c>
      <c r="E843" s="2" t="s">
        <v>2517</v>
      </c>
      <c r="F843" s="2" t="s">
        <v>2518</v>
      </c>
      <c r="G843" s="2">
        <v>8</v>
      </c>
      <c r="H843" s="2" t="s">
        <v>74</v>
      </c>
      <c r="I843" s="1">
        <v>0</v>
      </c>
      <c r="J843" s="3" t="s">
        <v>447</v>
      </c>
      <c r="K843" s="2" t="str">
        <f>J843*103.00</f>
        <v>0</v>
      </c>
      <c r="L843" s="5"/>
    </row>
    <row r="844" spans="1:12" customHeight="1" ht="105" outlineLevel="4">
      <c r="A844" s="1"/>
      <c r="B844" s="1">
        <v>903175</v>
      </c>
      <c r="C844" s="1" t="s">
        <v>2519</v>
      </c>
      <c r="D844" s="1" t="s">
        <v>2520</v>
      </c>
      <c r="E844" s="2" t="s">
        <v>2521</v>
      </c>
      <c r="F844" s="2" t="s">
        <v>2522</v>
      </c>
      <c r="G844" s="2">
        <v>0</v>
      </c>
      <c r="H844" s="2" t="s">
        <v>74</v>
      </c>
      <c r="I844" s="1">
        <v>0</v>
      </c>
      <c r="J844" s="3" t="s">
        <v>447</v>
      </c>
      <c r="K844" s="2" t="str">
        <f>J844*102.00</f>
        <v>0</v>
      </c>
      <c r="L844" s="5"/>
    </row>
    <row r="845" spans="1:12" customHeight="1" ht="105" outlineLevel="4">
      <c r="A845" s="1"/>
      <c r="B845" s="1">
        <v>903176</v>
      </c>
      <c r="C845" s="1" t="s">
        <v>2523</v>
      </c>
      <c r="D845" s="1" t="s">
        <v>2524</v>
      </c>
      <c r="E845" s="2" t="s">
        <v>2525</v>
      </c>
      <c r="F845" s="2" t="s">
        <v>2518</v>
      </c>
      <c r="G845" s="2">
        <v>0</v>
      </c>
      <c r="H845" s="2" t="s">
        <v>74</v>
      </c>
      <c r="I845" s="1">
        <v>0</v>
      </c>
      <c r="J845" s="3" t="s">
        <v>447</v>
      </c>
      <c r="K845" s="2" t="str">
        <f>J845*103.00</f>
        <v>0</v>
      </c>
      <c r="L845" s="5"/>
    </row>
    <row r="846" spans="1:12" customHeight="1" ht="105" outlineLevel="4">
      <c r="A846" s="1"/>
      <c r="B846" s="1">
        <v>903177</v>
      </c>
      <c r="C846" s="1" t="s">
        <v>2526</v>
      </c>
      <c r="D846" s="1" t="s">
        <v>2527</v>
      </c>
      <c r="E846" s="2" t="s">
        <v>2528</v>
      </c>
      <c r="F846" s="2" t="s">
        <v>2529</v>
      </c>
      <c r="G846" s="2">
        <v>0</v>
      </c>
      <c r="H846" s="2" t="s">
        <v>58</v>
      </c>
      <c r="I846" s="1">
        <v>0</v>
      </c>
      <c r="J846" s="3" t="s">
        <v>447</v>
      </c>
      <c r="K846" s="2" t="str">
        <f>J846*119.00</f>
        <v>0</v>
      </c>
      <c r="L846" s="5"/>
    </row>
    <row r="847" spans="1:12" customHeight="1" ht="105" outlineLevel="4">
      <c r="A847" s="1"/>
      <c r="B847" s="1">
        <v>903178</v>
      </c>
      <c r="C847" s="1" t="s">
        <v>2530</v>
      </c>
      <c r="D847" s="1" t="s">
        <v>2531</v>
      </c>
      <c r="E847" s="2" t="s">
        <v>2532</v>
      </c>
      <c r="F847" s="2" t="s">
        <v>2533</v>
      </c>
      <c r="G847" s="2">
        <v>0</v>
      </c>
      <c r="H847" s="2" t="s">
        <v>74</v>
      </c>
      <c r="I847" s="1">
        <v>0</v>
      </c>
      <c r="J847" s="3" t="s">
        <v>447</v>
      </c>
      <c r="K847" s="2" t="str">
        <f>J847*236.00</f>
        <v>0</v>
      </c>
      <c r="L847" s="5"/>
    </row>
    <row r="848" spans="1:12" customHeight="1" ht="105" outlineLevel="4">
      <c r="A848" s="1"/>
      <c r="B848" s="1">
        <v>903179</v>
      </c>
      <c r="C848" s="1" t="s">
        <v>2534</v>
      </c>
      <c r="D848" s="1" t="s">
        <v>2535</v>
      </c>
      <c r="E848" s="2" t="s">
        <v>2536</v>
      </c>
      <c r="F848" s="2" t="s">
        <v>2339</v>
      </c>
      <c r="G848" s="2">
        <v>5</v>
      </c>
      <c r="H848" s="2" t="s">
        <v>74</v>
      </c>
      <c r="I848" s="1">
        <v>0</v>
      </c>
      <c r="J848" s="3" t="s">
        <v>447</v>
      </c>
      <c r="K848" s="2" t="str">
        <f>J848*262.00</f>
        <v>0</v>
      </c>
      <c r="L848" s="5"/>
    </row>
    <row r="849" spans="1:12" customHeight="1" ht="105" outlineLevel="4">
      <c r="A849" s="1"/>
      <c r="B849" s="1">
        <v>903180</v>
      </c>
      <c r="C849" s="1" t="s">
        <v>2537</v>
      </c>
      <c r="D849" s="1" t="s">
        <v>2538</v>
      </c>
      <c r="E849" s="2" t="s">
        <v>2539</v>
      </c>
      <c r="F849" s="2" t="s">
        <v>2540</v>
      </c>
      <c r="G849" s="2">
        <v>0</v>
      </c>
      <c r="H849" s="2" t="s">
        <v>153</v>
      </c>
      <c r="I849" s="1">
        <v>0</v>
      </c>
      <c r="J849" s="3" t="s">
        <v>447</v>
      </c>
      <c r="K849" s="2" t="str">
        <f>J849*143.00</f>
        <v>0</v>
      </c>
      <c r="L849" s="5"/>
    </row>
    <row r="850" spans="1:12" customHeight="1" ht="105" outlineLevel="4">
      <c r="A850" s="1"/>
      <c r="B850" s="1">
        <v>903181</v>
      </c>
      <c r="C850" s="1" t="s">
        <v>2541</v>
      </c>
      <c r="D850" s="1" t="s">
        <v>2542</v>
      </c>
      <c r="E850" s="2" t="s">
        <v>2543</v>
      </c>
      <c r="F850" s="2" t="s">
        <v>2544</v>
      </c>
      <c r="G850" s="2">
        <v>0</v>
      </c>
      <c r="H850" s="2" t="s">
        <v>58</v>
      </c>
      <c r="I850" s="1">
        <v>0</v>
      </c>
      <c r="J850" s="3" t="s">
        <v>447</v>
      </c>
      <c r="K850" s="2" t="str">
        <f>J850*199.00</f>
        <v>0</v>
      </c>
      <c r="L850" s="5"/>
    </row>
    <row r="851" spans="1:12" customHeight="1" ht="105" outlineLevel="4">
      <c r="A851" s="1"/>
      <c r="B851" s="1">
        <v>903182</v>
      </c>
      <c r="C851" s="1" t="s">
        <v>2545</v>
      </c>
      <c r="D851" s="1" t="s">
        <v>2546</v>
      </c>
      <c r="E851" s="2" t="s">
        <v>2547</v>
      </c>
      <c r="F851" s="2" t="s">
        <v>2548</v>
      </c>
      <c r="G851" s="2">
        <v>0</v>
      </c>
      <c r="H851" s="2" t="s">
        <v>74</v>
      </c>
      <c r="I851" s="1">
        <v>0</v>
      </c>
      <c r="J851" s="3" t="s">
        <v>447</v>
      </c>
      <c r="K851" s="2" t="str">
        <f>J851*377.00</f>
        <v>0</v>
      </c>
      <c r="L851" s="5"/>
    </row>
    <row r="852" spans="1:12" customHeight="1" ht="105" outlineLevel="4">
      <c r="A852" s="1"/>
      <c r="B852" s="1">
        <v>903183</v>
      </c>
      <c r="C852" s="1" t="s">
        <v>2549</v>
      </c>
      <c r="D852" s="1" t="s">
        <v>2550</v>
      </c>
      <c r="E852" s="2" t="s">
        <v>2551</v>
      </c>
      <c r="F852" s="2" t="s">
        <v>2552</v>
      </c>
      <c r="G852" s="2">
        <v>0</v>
      </c>
      <c r="H852" s="2" t="s">
        <v>152</v>
      </c>
      <c r="I852" s="1">
        <v>0</v>
      </c>
      <c r="J852" s="3" t="s">
        <v>447</v>
      </c>
      <c r="K852" s="2" t="str">
        <f>J852*297.00</f>
        <v>0</v>
      </c>
      <c r="L852" s="5"/>
    </row>
    <row r="853" spans="1:12" customHeight="1" ht="105" outlineLevel="4">
      <c r="A853" s="1"/>
      <c r="B853" s="1">
        <v>903184</v>
      </c>
      <c r="C853" s="1" t="s">
        <v>2553</v>
      </c>
      <c r="D853" s="1" t="s">
        <v>2554</v>
      </c>
      <c r="E853" s="2" t="s">
        <v>2555</v>
      </c>
      <c r="F853" s="2" t="s">
        <v>2556</v>
      </c>
      <c r="G853" s="2">
        <v>0</v>
      </c>
      <c r="H853" s="2" t="s">
        <v>74</v>
      </c>
      <c r="I853" s="1">
        <v>0</v>
      </c>
      <c r="J853" s="3" t="s">
        <v>447</v>
      </c>
      <c r="K853" s="2" t="str">
        <f>J853*356.00</f>
        <v>0</v>
      </c>
      <c r="L853" s="5"/>
    </row>
    <row r="854" spans="1:12" customHeight="1" ht="105" outlineLevel="4">
      <c r="A854" s="1"/>
      <c r="B854" s="1">
        <v>903185</v>
      </c>
      <c r="C854" s="1" t="s">
        <v>2557</v>
      </c>
      <c r="D854" s="1" t="s">
        <v>2558</v>
      </c>
      <c r="E854" s="2" t="s">
        <v>2559</v>
      </c>
      <c r="F854" s="2" t="s">
        <v>2560</v>
      </c>
      <c r="G854" s="2" t="s">
        <v>153</v>
      </c>
      <c r="H854" s="2">
        <v>0</v>
      </c>
      <c r="I854" s="1">
        <v>0</v>
      </c>
      <c r="J854" s="3" t="s">
        <v>447</v>
      </c>
      <c r="K854" s="2" t="str">
        <f>J854*449.00</f>
        <v>0</v>
      </c>
      <c r="L854" s="5"/>
    </row>
    <row r="855" spans="1:12" customHeight="1" ht="105" outlineLevel="4">
      <c r="A855" s="1"/>
      <c r="B855" s="1">
        <v>903186</v>
      </c>
      <c r="C855" s="1" t="s">
        <v>2561</v>
      </c>
      <c r="D855" s="1" t="s">
        <v>2562</v>
      </c>
      <c r="E855" s="2" t="s">
        <v>2563</v>
      </c>
      <c r="F855" s="2" t="s">
        <v>2564</v>
      </c>
      <c r="G855" s="2" t="s">
        <v>153</v>
      </c>
      <c r="H855" s="2" t="s">
        <v>58</v>
      </c>
      <c r="I855" s="1">
        <v>0</v>
      </c>
      <c r="J855" s="3" t="s">
        <v>447</v>
      </c>
      <c r="K855" s="2" t="str">
        <f>J855*485.00</f>
        <v>0</v>
      </c>
      <c r="L855" s="5"/>
    </row>
    <row r="856" spans="1:12" customHeight="1" ht="105" outlineLevel="4">
      <c r="A856" s="1"/>
      <c r="B856" s="1">
        <v>818617</v>
      </c>
      <c r="C856" s="1" t="s">
        <v>2565</v>
      </c>
      <c r="D856" s="1" t="s">
        <v>2566</v>
      </c>
      <c r="E856" s="2" t="s">
        <v>2567</v>
      </c>
      <c r="F856" s="2" t="s">
        <v>2568</v>
      </c>
      <c r="G856" s="2">
        <v>10</v>
      </c>
      <c r="H856" s="2">
        <v>1</v>
      </c>
      <c r="I856" s="1">
        <v>0</v>
      </c>
      <c r="J856" s="3" t="s">
        <v>447</v>
      </c>
      <c r="K856" s="2" t="str">
        <f>J856*796.00</f>
        <v>0</v>
      </c>
      <c r="L856" s="5"/>
    </row>
    <row r="857" spans="1:12" customHeight="1" ht="105" outlineLevel="4">
      <c r="A857" s="1"/>
      <c r="B857" s="1">
        <v>903187</v>
      </c>
      <c r="C857" s="1" t="s">
        <v>2569</v>
      </c>
      <c r="D857" s="1" t="s">
        <v>2570</v>
      </c>
      <c r="E857" s="2" t="s">
        <v>2571</v>
      </c>
      <c r="F857" s="2" t="s">
        <v>2572</v>
      </c>
      <c r="G857" s="2" t="s">
        <v>153</v>
      </c>
      <c r="H857" s="2" t="s">
        <v>58</v>
      </c>
      <c r="I857" s="1">
        <v>0</v>
      </c>
      <c r="J857" s="3" t="s">
        <v>447</v>
      </c>
      <c r="K857" s="2" t="str">
        <f>J857*975.00</f>
        <v>0</v>
      </c>
      <c r="L857" s="5"/>
    </row>
    <row r="858" spans="1:12" customHeight="1" ht="105" outlineLevel="4">
      <c r="A858" s="1"/>
      <c r="B858" s="1">
        <v>903188</v>
      </c>
      <c r="C858" s="1" t="s">
        <v>2573</v>
      </c>
      <c r="D858" s="1" t="s">
        <v>2574</v>
      </c>
      <c r="E858" s="2" t="s">
        <v>2575</v>
      </c>
      <c r="F858" s="2" t="s">
        <v>2576</v>
      </c>
      <c r="G858" s="2">
        <v>0</v>
      </c>
      <c r="H858" s="2" t="s">
        <v>58</v>
      </c>
      <c r="I858" s="1">
        <v>0</v>
      </c>
      <c r="J858" s="3" t="s">
        <v>447</v>
      </c>
      <c r="K858" s="2" t="str">
        <f>J858*1640.00</f>
        <v>0</v>
      </c>
      <c r="L858" s="5"/>
    </row>
    <row r="859" spans="1:12" customHeight="1" ht="105" outlineLevel="4">
      <c r="A859" s="1"/>
      <c r="B859" s="1">
        <v>903189</v>
      </c>
      <c r="C859" s="1" t="s">
        <v>2577</v>
      </c>
      <c r="D859" s="1" t="s">
        <v>2578</v>
      </c>
      <c r="E859" s="2" t="s">
        <v>2579</v>
      </c>
      <c r="F859" s="2" t="s">
        <v>2580</v>
      </c>
      <c r="G859" s="2">
        <v>2</v>
      </c>
      <c r="H859" s="2">
        <v>9</v>
      </c>
      <c r="I859" s="1">
        <v>0</v>
      </c>
      <c r="J859" s="3" t="s">
        <v>447</v>
      </c>
      <c r="K859" s="2" t="str">
        <f>J859*2862.00</f>
        <v>0</v>
      </c>
      <c r="L859" s="5"/>
    </row>
    <row r="860" spans="1:12" customHeight="1" ht="105" outlineLevel="4">
      <c r="A860" s="1"/>
      <c r="B860" s="1">
        <v>903190</v>
      </c>
      <c r="C860" s="1" t="s">
        <v>2581</v>
      </c>
      <c r="D860" s="1" t="s">
        <v>2582</v>
      </c>
      <c r="E860" s="2" t="s">
        <v>2583</v>
      </c>
      <c r="F860" s="2" t="s">
        <v>2584</v>
      </c>
      <c r="G860" s="2">
        <v>0</v>
      </c>
      <c r="H860" s="2" t="s">
        <v>153</v>
      </c>
      <c r="I860" s="1">
        <v>0</v>
      </c>
      <c r="J860" s="3" t="s">
        <v>447</v>
      </c>
      <c r="K860" s="2" t="str">
        <f>J860*4554.00</f>
        <v>0</v>
      </c>
      <c r="L860" s="5"/>
    </row>
    <row r="861" spans="1:12" customHeight="1" ht="105" outlineLevel="4">
      <c r="A861" s="1"/>
      <c r="B861" s="1">
        <v>903191</v>
      </c>
      <c r="C861" s="1" t="s">
        <v>2585</v>
      </c>
      <c r="D861" s="1" t="s">
        <v>2586</v>
      </c>
      <c r="E861" s="2" t="s">
        <v>2587</v>
      </c>
      <c r="F861" s="2" t="s">
        <v>2588</v>
      </c>
      <c r="G861" s="2">
        <v>0</v>
      </c>
      <c r="H861" s="2">
        <v>0</v>
      </c>
      <c r="I861" s="1">
        <v>0</v>
      </c>
      <c r="J861" s="3" t="s">
        <v>447</v>
      </c>
      <c r="K861" s="2" t="str">
        <f>J861*4948.00</f>
        <v>0</v>
      </c>
      <c r="L861" s="5"/>
    </row>
    <row r="862" spans="1:12" customHeight="1" ht="105" outlineLevel="4">
      <c r="A862" s="1"/>
      <c r="B862" s="1">
        <v>903192</v>
      </c>
      <c r="C862" s="1" t="s">
        <v>2589</v>
      </c>
      <c r="D862" s="1" t="s">
        <v>2590</v>
      </c>
      <c r="E862" s="2" t="s">
        <v>2591</v>
      </c>
      <c r="F862" s="2" t="s">
        <v>2592</v>
      </c>
      <c r="G862" s="2">
        <v>8</v>
      </c>
      <c r="H862" s="2" t="s">
        <v>136</v>
      </c>
      <c r="I862" s="1">
        <v>0</v>
      </c>
      <c r="J862" s="3" t="s">
        <v>447</v>
      </c>
      <c r="K862" s="2" t="str">
        <f>J862*514.00</f>
        <v>0</v>
      </c>
      <c r="L862" s="5"/>
    </row>
    <row r="863" spans="1:12" customHeight="1" ht="105" outlineLevel="4">
      <c r="A863" s="1"/>
      <c r="B863" s="1">
        <v>903193</v>
      </c>
      <c r="C863" s="1" t="s">
        <v>2593</v>
      </c>
      <c r="D863" s="1" t="s">
        <v>2594</v>
      </c>
      <c r="E863" s="2" t="s">
        <v>2595</v>
      </c>
      <c r="F863" s="2" t="s">
        <v>2596</v>
      </c>
      <c r="G863" s="2">
        <v>10</v>
      </c>
      <c r="H863" s="2" t="s">
        <v>136</v>
      </c>
      <c r="I863" s="1">
        <v>0</v>
      </c>
      <c r="J863" s="3" t="s">
        <v>447</v>
      </c>
      <c r="K863" s="2" t="str">
        <f>J863*607.00</f>
        <v>0</v>
      </c>
      <c r="L863" s="5"/>
    </row>
    <row r="864" spans="1:12" customHeight="1" ht="105" outlineLevel="4">
      <c r="A864" s="1"/>
      <c r="B864" s="1">
        <v>818625</v>
      </c>
      <c r="C864" s="1" t="s">
        <v>2597</v>
      </c>
      <c r="D864" s="1" t="s">
        <v>2598</v>
      </c>
      <c r="E864" s="2" t="s">
        <v>2599</v>
      </c>
      <c r="F864" s="2" t="s">
        <v>2600</v>
      </c>
      <c r="G864" s="2">
        <v>4</v>
      </c>
      <c r="H864" s="2" t="s">
        <v>58</v>
      </c>
      <c r="I864" s="1">
        <v>0</v>
      </c>
      <c r="J864" s="3" t="s">
        <v>447</v>
      </c>
      <c r="K864" s="2" t="str">
        <f>J864*910.00</f>
        <v>0</v>
      </c>
      <c r="L864" s="5"/>
    </row>
    <row r="865" spans="1:12" customHeight="1" ht="105" outlineLevel="4">
      <c r="A865" s="1"/>
      <c r="B865" s="1">
        <v>903194</v>
      </c>
      <c r="C865" s="1" t="s">
        <v>2601</v>
      </c>
      <c r="D865" s="1" t="s">
        <v>2602</v>
      </c>
      <c r="E865" s="2" t="s">
        <v>2603</v>
      </c>
      <c r="F865" s="2" t="s">
        <v>2604</v>
      </c>
      <c r="G865" s="2">
        <v>10</v>
      </c>
      <c r="H865" s="2" t="s">
        <v>58</v>
      </c>
      <c r="I865" s="1">
        <v>0</v>
      </c>
      <c r="J865" s="3" t="s">
        <v>447</v>
      </c>
      <c r="K865" s="2" t="str">
        <f>J865*1202.00</f>
        <v>0</v>
      </c>
      <c r="L865" s="5"/>
    </row>
    <row r="866" spans="1:12" customHeight="1" ht="105" outlineLevel="4">
      <c r="A866" s="1"/>
      <c r="B866" s="1">
        <v>903195</v>
      </c>
      <c r="C866" s="1" t="s">
        <v>2605</v>
      </c>
      <c r="D866" s="1" t="s">
        <v>2606</v>
      </c>
      <c r="E866" s="2" t="s">
        <v>2607</v>
      </c>
      <c r="F866" s="2" t="s">
        <v>2608</v>
      </c>
      <c r="G866" s="2">
        <v>5</v>
      </c>
      <c r="H866" s="2" t="s">
        <v>58</v>
      </c>
      <c r="I866" s="1">
        <v>0</v>
      </c>
      <c r="J866" s="3" t="s">
        <v>447</v>
      </c>
      <c r="K866" s="2" t="str">
        <f>J866*2335.00</f>
        <v>0</v>
      </c>
      <c r="L866" s="5"/>
    </row>
    <row r="867" spans="1:12" customHeight="1" ht="105" outlineLevel="4">
      <c r="A867" s="1"/>
      <c r="B867" s="1">
        <v>903196</v>
      </c>
      <c r="C867" s="1" t="s">
        <v>2609</v>
      </c>
      <c r="D867" s="1" t="s">
        <v>2610</v>
      </c>
      <c r="E867" s="2" t="s">
        <v>2611</v>
      </c>
      <c r="F867" s="2" t="s">
        <v>2612</v>
      </c>
      <c r="G867" s="2">
        <v>1</v>
      </c>
      <c r="H867" s="2" t="s">
        <v>153</v>
      </c>
      <c r="I867" s="1">
        <v>0</v>
      </c>
      <c r="J867" s="3" t="s">
        <v>447</v>
      </c>
      <c r="K867" s="2" t="str">
        <f>J867*4187.00</f>
        <v>0</v>
      </c>
      <c r="L867" s="5"/>
    </row>
    <row r="868" spans="1:12" customHeight="1" ht="105" outlineLevel="4">
      <c r="A868" s="1"/>
      <c r="B868" s="1">
        <v>903197</v>
      </c>
      <c r="C868" s="1" t="s">
        <v>2613</v>
      </c>
      <c r="D868" s="1" t="s">
        <v>2614</v>
      </c>
      <c r="E868" s="2" t="s">
        <v>2615</v>
      </c>
      <c r="F868" s="2" t="s">
        <v>2616</v>
      </c>
      <c r="G868" s="2">
        <v>0</v>
      </c>
      <c r="H868" s="2" t="s">
        <v>153</v>
      </c>
      <c r="I868" s="1">
        <v>0</v>
      </c>
      <c r="J868" s="3" t="s">
        <v>447</v>
      </c>
      <c r="K868" s="2" t="str">
        <f>J868*5391.00</f>
        <v>0</v>
      </c>
      <c r="L868" s="5"/>
    </row>
    <row r="869" spans="1:12" customHeight="1" ht="105" outlineLevel="4">
      <c r="A869" s="1"/>
      <c r="B869" s="1">
        <v>903198</v>
      </c>
      <c r="C869" s="1" t="s">
        <v>2617</v>
      </c>
      <c r="D869" s="1" t="s">
        <v>2618</v>
      </c>
      <c r="E869" s="2" t="s">
        <v>2619</v>
      </c>
      <c r="F869" s="2" t="s">
        <v>2620</v>
      </c>
      <c r="G869" s="2">
        <v>0</v>
      </c>
      <c r="H869" s="2">
        <v>0</v>
      </c>
      <c r="I869" s="1">
        <v>0</v>
      </c>
      <c r="J869" s="3" t="s">
        <v>447</v>
      </c>
      <c r="K869" s="2" t="str">
        <f>J869*5959.00</f>
        <v>0</v>
      </c>
      <c r="L869" s="5"/>
    </row>
    <row r="870" spans="1:12" customHeight="1" ht="105" outlineLevel="4">
      <c r="A870" s="1"/>
      <c r="B870" s="1">
        <v>818631</v>
      </c>
      <c r="C870" s="1" t="s">
        <v>2621</v>
      </c>
      <c r="D870" s="1" t="s">
        <v>2622</v>
      </c>
      <c r="E870" s="2" t="s">
        <v>2623</v>
      </c>
      <c r="F870" s="2" t="s">
        <v>2624</v>
      </c>
      <c r="G870" s="2" t="s">
        <v>152</v>
      </c>
      <c r="H870" s="2" t="s">
        <v>222</v>
      </c>
      <c r="I870" s="1">
        <v>0</v>
      </c>
      <c r="J870" s="3" t="s">
        <v>447</v>
      </c>
      <c r="K870" s="2" t="str">
        <f>J870*163.00</f>
        <v>0</v>
      </c>
      <c r="L870" s="5"/>
    </row>
    <row r="871" spans="1:12" customHeight="1" ht="105" outlineLevel="4">
      <c r="A871" s="1"/>
      <c r="B871" s="1">
        <v>903199</v>
      </c>
      <c r="C871" s="1" t="s">
        <v>2625</v>
      </c>
      <c r="D871" s="1" t="s">
        <v>2626</v>
      </c>
      <c r="E871" s="2" t="s">
        <v>2627</v>
      </c>
      <c r="F871" s="2" t="s">
        <v>2628</v>
      </c>
      <c r="G871" s="2" t="s">
        <v>152</v>
      </c>
      <c r="H871" s="2" t="s">
        <v>136</v>
      </c>
      <c r="I871" s="1">
        <v>0</v>
      </c>
      <c r="J871" s="3" t="s">
        <v>447</v>
      </c>
      <c r="K871" s="2" t="str">
        <f>J871*207.00</f>
        <v>0</v>
      </c>
      <c r="L871" s="5"/>
    </row>
    <row r="872" spans="1:12" customHeight="1" ht="105" outlineLevel="4">
      <c r="A872" s="1"/>
      <c r="B872" s="1">
        <v>818633</v>
      </c>
      <c r="C872" s="1" t="s">
        <v>2629</v>
      </c>
      <c r="D872" s="1" t="s">
        <v>2630</v>
      </c>
      <c r="E872" s="2" t="s">
        <v>2631</v>
      </c>
      <c r="F872" s="2" t="s">
        <v>2632</v>
      </c>
      <c r="G872" s="2" t="s">
        <v>152</v>
      </c>
      <c r="H872" s="2" t="s">
        <v>180</v>
      </c>
      <c r="I872" s="1">
        <v>0</v>
      </c>
      <c r="J872" s="3" t="s">
        <v>447</v>
      </c>
      <c r="K872" s="2" t="str">
        <f>J872*225.00</f>
        <v>0</v>
      </c>
      <c r="L872" s="5"/>
    </row>
    <row r="873" spans="1:12" customHeight="1" ht="105" outlineLevel="4">
      <c r="A873" s="1"/>
      <c r="B873" s="1">
        <v>903200</v>
      </c>
      <c r="C873" s="1" t="s">
        <v>2633</v>
      </c>
      <c r="D873" s="1" t="s">
        <v>2634</v>
      </c>
      <c r="E873" s="2" t="s">
        <v>2635</v>
      </c>
      <c r="F873" s="2" t="s">
        <v>2636</v>
      </c>
      <c r="G873" s="2" t="s">
        <v>153</v>
      </c>
      <c r="H873" s="2" t="s">
        <v>58</v>
      </c>
      <c r="I873" s="1">
        <v>0</v>
      </c>
      <c r="J873" s="3" t="s">
        <v>447</v>
      </c>
      <c r="K873" s="2" t="str">
        <f>J873*395.00</f>
        <v>0</v>
      </c>
      <c r="L873" s="5"/>
    </row>
    <row r="874" spans="1:12" customHeight="1" ht="105" outlineLevel="4">
      <c r="A874" s="1"/>
      <c r="B874" s="1">
        <v>903201</v>
      </c>
      <c r="C874" s="1" t="s">
        <v>2637</v>
      </c>
      <c r="D874" s="1" t="s">
        <v>2638</v>
      </c>
      <c r="E874" s="2" t="s">
        <v>2639</v>
      </c>
      <c r="F874" s="2" t="s">
        <v>2640</v>
      </c>
      <c r="G874" s="2" t="s">
        <v>153</v>
      </c>
      <c r="H874" s="2" t="s">
        <v>58</v>
      </c>
      <c r="I874" s="1">
        <v>0</v>
      </c>
      <c r="J874" s="3" t="s">
        <v>447</v>
      </c>
      <c r="K874" s="2" t="str">
        <f>J874*422.00</f>
        <v>0</v>
      </c>
      <c r="L874" s="5"/>
    </row>
    <row r="875" spans="1:12" customHeight="1" ht="105" outlineLevel="4">
      <c r="A875" s="1"/>
      <c r="B875" s="1">
        <v>818636</v>
      </c>
      <c r="C875" s="1" t="s">
        <v>2641</v>
      </c>
      <c r="D875" s="1" t="s">
        <v>2642</v>
      </c>
      <c r="E875" s="2" t="s">
        <v>2643</v>
      </c>
      <c r="F875" s="2" t="s">
        <v>2644</v>
      </c>
      <c r="G875" s="2" t="s">
        <v>74</v>
      </c>
      <c r="H875" s="2" t="s">
        <v>180</v>
      </c>
      <c r="I875" s="1">
        <v>0</v>
      </c>
      <c r="J875" s="3" t="s">
        <v>447</v>
      </c>
      <c r="K875" s="2" t="str">
        <f>J875*299.00</f>
        <v>0</v>
      </c>
      <c r="L875" s="5"/>
    </row>
    <row r="876" spans="1:12" customHeight="1" ht="105" outlineLevel="4">
      <c r="A876" s="1"/>
      <c r="B876" s="1">
        <v>903202</v>
      </c>
      <c r="C876" s="1" t="s">
        <v>2645</v>
      </c>
      <c r="D876" s="1" t="s">
        <v>2646</v>
      </c>
      <c r="E876" s="2" t="s">
        <v>2647</v>
      </c>
      <c r="F876" s="2" t="s">
        <v>2648</v>
      </c>
      <c r="G876" s="2" t="s">
        <v>152</v>
      </c>
      <c r="H876" s="2" t="s">
        <v>180</v>
      </c>
      <c r="I876" s="1">
        <v>0</v>
      </c>
      <c r="J876" s="3" t="s">
        <v>447</v>
      </c>
      <c r="K876" s="2" t="str">
        <f>J876*249.00</f>
        <v>0</v>
      </c>
      <c r="L876" s="5"/>
    </row>
    <row r="877" spans="1:12" customHeight="1" ht="105" outlineLevel="4">
      <c r="A877" s="1"/>
      <c r="B877" s="1">
        <v>903203</v>
      </c>
      <c r="C877" s="1" t="s">
        <v>2649</v>
      </c>
      <c r="D877" s="1" t="s">
        <v>2650</v>
      </c>
      <c r="E877" s="2" t="s">
        <v>2651</v>
      </c>
      <c r="F877" s="2" t="s">
        <v>2652</v>
      </c>
      <c r="G877" s="2">
        <v>0</v>
      </c>
      <c r="H877" s="2">
        <v>0</v>
      </c>
      <c r="I877" s="1">
        <v>0</v>
      </c>
      <c r="J877" s="3" t="s">
        <v>447</v>
      </c>
      <c r="K877" s="2" t="str">
        <f>J877*326.00</f>
        <v>0</v>
      </c>
      <c r="L877" s="5"/>
    </row>
    <row r="878" spans="1:12" customHeight="1" ht="105" outlineLevel="4">
      <c r="A878" s="1"/>
      <c r="B878" s="1">
        <v>903204</v>
      </c>
      <c r="C878" s="1" t="s">
        <v>2653</v>
      </c>
      <c r="D878" s="1" t="s">
        <v>2654</v>
      </c>
      <c r="E878" s="2" t="s">
        <v>2655</v>
      </c>
      <c r="F878" s="2" t="s">
        <v>2656</v>
      </c>
      <c r="G878" s="2" t="s">
        <v>74</v>
      </c>
      <c r="H878" s="2">
        <v>0</v>
      </c>
      <c r="I878" s="1">
        <v>0</v>
      </c>
      <c r="J878" s="3" t="s">
        <v>447</v>
      </c>
      <c r="K878" s="2" t="str">
        <f>J878*418.00</f>
        <v>0</v>
      </c>
      <c r="L878" s="5"/>
    </row>
    <row r="879" spans="1:12" customHeight="1" ht="105" outlineLevel="4">
      <c r="A879" s="1"/>
      <c r="B879" s="1">
        <v>903205</v>
      </c>
      <c r="C879" s="1" t="s">
        <v>2657</v>
      </c>
      <c r="D879" s="1" t="s">
        <v>2658</v>
      </c>
      <c r="E879" s="2" t="s">
        <v>2659</v>
      </c>
      <c r="F879" s="2" t="s">
        <v>2660</v>
      </c>
      <c r="G879" s="2" t="s">
        <v>74</v>
      </c>
      <c r="H879" s="2">
        <v>0</v>
      </c>
      <c r="I879" s="1">
        <v>0</v>
      </c>
      <c r="J879" s="3" t="s">
        <v>447</v>
      </c>
      <c r="K879" s="2" t="str">
        <f>J879*483.00</f>
        <v>0</v>
      </c>
      <c r="L879" s="5"/>
    </row>
    <row r="880" spans="1:12" customHeight="1" ht="105" outlineLevel="4">
      <c r="A880" s="1"/>
      <c r="B880" s="1">
        <v>903206</v>
      </c>
      <c r="C880" s="1" t="s">
        <v>2661</v>
      </c>
      <c r="D880" s="1" t="s">
        <v>2662</v>
      </c>
      <c r="E880" s="2" t="s">
        <v>2663</v>
      </c>
      <c r="F880" s="2" t="s">
        <v>2664</v>
      </c>
      <c r="G880" s="2" t="s">
        <v>74</v>
      </c>
      <c r="H880" s="2">
        <v>0</v>
      </c>
      <c r="I880" s="1">
        <v>0</v>
      </c>
      <c r="J880" s="3" t="s">
        <v>447</v>
      </c>
      <c r="K880" s="2" t="str">
        <f>J880*581.00</f>
        <v>0</v>
      </c>
      <c r="L880" s="5"/>
    </row>
    <row r="881" spans="1:12" customHeight="1" ht="105" outlineLevel="4">
      <c r="A881" s="1"/>
      <c r="B881" s="1">
        <v>903207</v>
      </c>
      <c r="C881" s="1" t="s">
        <v>2665</v>
      </c>
      <c r="D881" s="1" t="s">
        <v>2666</v>
      </c>
      <c r="E881" s="2" t="s">
        <v>2667</v>
      </c>
      <c r="F881" s="2" t="s">
        <v>2668</v>
      </c>
      <c r="G881" s="2">
        <v>0</v>
      </c>
      <c r="H881" s="2">
        <v>0</v>
      </c>
      <c r="I881" s="1">
        <v>0</v>
      </c>
      <c r="J881" s="3" t="s">
        <v>447</v>
      </c>
      <c r="K881" s="2" t="str">
        <f>J881*1785.00</f>
        <v>0</v>
      </c>
      <c r="L881" s="5"/>
    </row>
    <row r="882" spans="1:12" customHeight="1" ht="105" outlineLevel="4">
      <c r="A882" s="1"/>
      <c r="B882" s="1">
        <v>903208</v>
      </c>
      <c r="C882" s="1" t="s">
        <v>2669</v>
      </c>
      <c r="D882" s="1" t="s">
        <v>2670</v>
      </c>
      <c r="E882" s="2" t="s">
        <v>2671</v>
      </c>
      <c r="F882" s="2" t="s">
        <v>2672</v>
      </c>
      <c r="G882" s="2">
        <v>0</v>
      </c>
      <c r="H882" s="2">
        <v>0</v>
      </c>
      <c r="I882" s="1">
        <v>0</v>
      </c>
      <c r="J882" s="3" t="s">
        <v>447</v>
      </c>
      <c r="K882" s="2" t="str">
        <f>J882*943.00</f>
        <v>0</v>
      </c>
      <c r="L882" s="5"/>
    </row>
    <row r="883" spans="1:12" customHeight="1" ht="105" outlineLevel="4">
      <c r="A883" s="1"/>
      <c r="B883" s="1">
        <v>903209</v>
      </c>
      <c r="C883" s="1" t="s">
        <v>2673</v>
      </c>
      <c r="D883" s="1" t="s">
        <v>2674</v>
      </c>
      <c r="E883" s="2" t="s">
        <v>2675</v>
      </c>
      <c r="F883" s="2" t="s">
        <v>2564</v>
      </c>
      <c r="G883" s="2">
        <v>9</v>
      </c>
      <c r="H883" s="2" t="s">
        <v>58</v>
      </c>
      <c r="I883" s="1">
        <v>0</v>
      </c>
      <c r="J883" s="3" t="s">
        <v>447</v>
      </c>
      <c r="K883" s="2" t="str">
        <f>J883*485.00</f>
        <v>0</v>
      </c>
      <c r="L883" s="5"/>
    </row>
    <row r="884" spans="1:12" customHeight="1" ht="105" outlineLevel="4">
      <c r="A884" s="1"/>
      <c r="B884" s="1">
        <v>903210</v>
      </c>
      <c r="C884" s="1" t="s">
        <v>2676</v>
      </c>
      <c r="D884" s="1" t="s">
        <v>2677</v>
      </c>
      <c r="E884" s="2" t="s">
        <v>2678</v>
      </c>
      <c r="F884" s="2" t="s">
        <v>2679</v>
      </c>
      <c r="G884" s="2">
        <v>7</v>
      </c>
      <c r="H884" s="2" t="s">
        <v>58</v>
      </c>
      <c r="I884" s="1">
        <v>0</v>
      </c>
      <c r="J884" s="3" t="s">
        <v>447</v>
      </c>
      <c r="K884" s="2" t="str">
        <f>J884*547.00</f>
        <v>0</v>
      </c>
      <c r="L884" s="5"/>
    </row>
    <row r="885" spans="1:12" customHeight="1" ht="105" outlineLevel="4">
      <c r="A885" s="1"/>
      <c r="B885" s="1">
        <v>903211</v>
      </c>
      <c r="C885" s="1" t="s">
        <v>2680</v>
      </c>
      <c r="D885" s="1" t="s">
        <v>2681</v>
      </c>
      <c r="E885" s="2" t="s">
        <v>2682</v>
      </c>
      <c r="F885" s="2" t="s">
        <v>2683</v>
      </c>
      <c r="G885" s="2">
        <v>9</v>
      </c>
      <c r="H885" s="2" t="s">
        <v>74</v>
      </c>
      <c r="I885" s="1">
        <v>0</v>
      </c>
      <c r="J885" s="3" t="s">
        <v>447</v>
      </c>
      <c r="K885" s="2" t="str">
        <f>J885*960.00</f>
        <v>0</v>
      </c>
      <c r="L885" s="5"/>
    </row>
    <row r="886" spans="1:12" customHeight="1" ht="105" outlineLevel="4">
      <c r="A886" s="1"/>
      <c r="B886" s="1">
        <v>903212</v>
      </c>
      <c r="C886" s="1" t="s">
        <v>2684</v>
      </c>
      <c r="D886" s="1" t="s">
        <v>2685</v>
      </c>
      <c r="E886" s="2" t="s">
        <v>2686</v>
      </c>
      <c r="F886" s="2" t="s">
        <v>2395</v>
      </c>
      <c r="G886" s="2" t="s">
        <v>153</v>
      </c>
      <c r="H886" s="2" t="s">
        <v>58</v>
      </c>
      <c r="I886" s="1">
        <v>0</v>
      </c>
      <c r="J886" s="3" t="s">
        <v>447</v>
      </c>
      <c r="K886" s="2" t="str">
        <f>J886*274.00</f>
        <v>0</v>
      </c>
      <c r="L886" s="5"/>
    </row>
    <row r="887" spans="1:12" customHeight="1" ht="105" outlineLevel="4">
      <c r="A887" s="1"/>
      <c r="B887" s="1">
        <v>903213</v>
      </c>
      <c r="C887" s="1" t="s">
        <v>2687</v>
      </c>
      <c r="D887" s="1" t="s">
        <v>2688</v>
      </c>
      <c r="E887" s="2" t="s">
        <v>2689</v>
      </c>
      <c r="F887" s="2" t="s">
        <v>2690</v>
      </c>
      <c r="G887" s="2">
        <v>7</v>
      </c>
      <c r="H887" s="2" t="s">
        <v>58</v>
      </c>
      <c r="I887" s="1">
        <v>0</v>
      </c>
      <c r="J887" s="3" t="s">
        <v>447</v>
      </c>
      <c r="K887" s="2" t="str">
        <f>J887*331.00</f>
        <v>0</v>
      </c>
      <c r="L887" s="5"/>
    </row>
    <row r="888" spans="1:12" customHeight="1" ht="105" outlineLevel="4">
      <c r="A888" s="1"/>
      <c r="B888" s="1">
        <v>903214</v>
      </c>
      <c r="C888" s="1" t="s">
        <v>2691</v>
      </c>
      <c r="D888" s="1" t="s">
        <v>2692</v>
      </c>
      <c r="E888" s="2" t="s">
        <v>2693</v>
      </c>
      <c r="F888" s="2" t="s">
        <v>2694</v>
      </c>
      <c r="G888" s="2">
        <v>7</v>
      </c>
      <c r="H888" s="2">
        <v>0</v>
      </c>
      <c r="I888" s="1">
        <v>0</v>
      </c>
      <c r="J888" s="3" t="s">
        <v>447</v>
      </c>
      <c r="K888" s="2" t="str">
        <f>J888*579.00</f>
        <v>0</v>
      </c>
      <c r="L888" s="5"/>
    </row>
    <row r="889" spans="1:12" customHeight="1" ht="105" outlineLevel="4">
      <c r="A889" s="1"/>
      <c r="B889" s="1">
        <v>903215</v>
      </c>
      <c r="C889" s="1" t="s">
        <v>2695</v>
      </c>
      <c r="D889" s="1" t="s">
        <v>2696</v>
      </c>
      <c r="E889" s="2" t="s">
        <v>2697</v>
      </c>
      <c r="F889" s="2" t="s">
        <v>2698</v>
      </c>
      <c r="G889" s="2" t="s">
        <v>153</v>
      </c>
      <c r="H889" s="2" t="s">
        <v>58</v>
      </c>
      <c r="I889" s="1">
        <v>0</v>
      </c>
      <c r="J889" s="3" t="s">
        <v>447</v>
      </c>
      <c r="K889" s="2" t="str">
        <f>J889*587.00</f>
        <v>0</v>
      </c>
      <c r="L889" s="5"/>
    </row>
    <row r="890" spans="1:12" customHeight="1" ht="105" outlineLevel="4">
      <c r="A890" s="1"/>
      <c r="B890" s="1">
        <v>903216</v>
      </c>
      <c r="C890" s="1" t="s">
        <v>2699</v>
      </c>
      <c r="D890" s="1" t="s">
        <v>2700</v>
      </c>
      <c r="E890" s="2" t="s">
        <v>2701</v>
      </c>
      <c r="F890" s="2" t="s">
        <v>2702</v>
      </c>
      <c r="G890" s="2" t="s">
        <v>153</v>
      </c>
      <c r="H890" s="2" t="s">
        <v>136</v>
      </c>
      <c r="I890" s="1">
        <v>0</v>
      </c>
      <c r="J890" s="3" t="s">
        <v>447</v>
      </c>
      <c r="K890" s="2" t="str">
        <f>J890*905.00</f>
        <v>0</v>
      </c>
      <c r="L890" s="5"/>
    </row>
    <row r="891" spans="1:12" customHeight="1" ht="105" outlineLevel="4">
      <c r="A891" s="1"/>
      <c r="B891" s="1">
        <v>903217</v>
      </c>
      <c r="C891" s="1" t="s">
        <v>2703</v>
      </c>
      <c r="D891" s="1" t="s">
        <v>2704</v>
      </c>
      <c r="E891" s="2" t="s">
        <v>2705</v>
      </c>
      <c r="F891" s="2" t="s">
        <v>2706</v>
      </c>
      <c r="G891" s="2" t="s">
        <v>152</v>
      </c>
      <c r="H891" s="2" t="s">
        <v>180</v>
      </c>
      <c r="I891" s="1">
        <v>0</v>
      </c>
      <c r="J891" s="3" t="s">
        <v>447</v>
      </c>
      <c r="K891" s="2" t="str">
        <f>J891*590.00</f>
        <v>0</v>
      </c>
      <c r="L891" s="5"/>
    </row>
    <row r="892" spans="1:12" customHeight="1" ht="105" outlineLevel="4">
      <c r="A892" s="1"/>
      <c r="B892" s="1">
        <v>903218</v>
      </c>
      <c r="C892" s="1" t="s">
        <v>2707</v>
      </c>
      <c r="D892" s="1" t="s">
        <v>2708</v>
      </c>
      <c r="E892" s="2" t="s">
        <v>2709</v>
      </c>
      <c r="F892" s="2" t="s">
        <v>2710</v>
      </c>
      <c r="G892" s="2" t="s">
        <v>153</v>
      </c>
      <c r="H892" s="2" t="s">
        <v>58</v>
      </c>
      <c r="I892" s="1">
        <v>0</v>
      </c>
      <c r="J892" s="3" t="s">
        <v>447</v>
      </c>
      <c r="K892" s="2" t="str">
        <f>J892*1003.00</f>
        <v>0</v>
      </c>
      <c r="L892" s="5"/>
    </row>
    <row r="893" spans="1:12" customHeight="1" ht="105" outlineLevel="4">
      <c r="A893" s="1"/>
      <c r="B893" s="1">
        <v>903219</v>
      </c>
      <c r="C893" s="1" t="s">
        <v>2711</v>
      </c>
      <c r="D893" s="1" t="s">
        <v>2712</v>
      </c>
      <c r="E893" s="2" t="s">
        <v>2713</v>
      </c>
      <c r="F893" s="2" t="s">
        <v>2714</v>
      </c>
      <c r="G893" s="2">
        <v>8</v>
      </c>
      <c r="H893" s="2" t="s">
        <v>58</v>
      </c>
      <c r="I893" s="1">
        <v>0</v>
      </c>
      <c r="J893" s="3" t="s">
        <v>447</v>
      </c>
      <c r="K893" s="2" t="str">
        <f>J893*628.00</f>
        <v>0</v>
      </c>
      <c r="L893" s="5"/>
    </row>
    <row r="894" spans="1:12" customHeight="1" ht="105" outlineLevel="4">
      <c r="A894" s="1"/>
      <c r="B894" s="1">
        <v>903220</v>
      </c>
      <c r="C894" s="1" t="s">
        <v>2715</v>
      </c>
      <c r="D894" s="1" t="s">
        <v>2716</v>
      </c>
      <c r="E894" s="2" t="s">
        <v>2717</v>
      </c>
      <c r="F894" s="2" t="s">
        <v>2718</v>
      </c>
      <c r="G894" s="2" t="s">
        <v>153</v>
      </c>
      <c r="H894" s="2" t="s">
        <v>58</v>
      </c>
      <c r="I894" s="1">
        <v>0</v>
      </c>
      <c r="J894" s="3" t="s">
        <v>447</v>
      </c>
      <c r="K894" s="2" t="str">
        <f>J894*1072.00</f>
        <v>0</v>
      </c>
      <c r="L894" s="5"/>
    </row>
    <row r="895" spans="1:12" customHeight="1" ht="105" outlineLevel="4">
      <c r="A895" s="1"/>
      <c r="B895" s="1">
        <v>903221</v>
      </c>
      <c r="C895" s="1" t="s">
        <v>2719</v>
      </c>
      <c r="D895" s="1" t="s">
        <v>2720</v>
      </c>
      <c r="E895" s="2" t="s">
        <v>2721</v>
      </c>
      <c r="F895" s="2" t="s">
        <v>2722</v>
      </c>
      <c r="G895" s="2" t="s">
        <v>153</v>
      </c>
      <c r="H895" s="2" t="s">
        <v>136</v>
      </c>
      <c r="I895" s="1">
        <v>0</v>
      </c>
      <c r="J895" s="3" t="s">
        <v>447</v>
      </c>
      <c r="K895" s="2" t="str">
        <f>J895*613.00</f>
        <v>0</v>
      </c>
      <c r="L895" s="5"/>
    </row>
    <row r="896" spans="1:12" customHeight="1" ht="105" outlineLevel="4">
      <c r="A896" s="1"/>
      <c r="B896" s="1">
        <v>903222</v>
      </c>
      <c r="C896" s="1" t="s">
        <v>2723</v>
      </c>
      <c r="D896" s="1" t="s">
        <v>2724</v>
      </c>
      <c r="E896" s="2" t="s">
        <v>2725</v>
      </c>
      <c r="F896" s="2" t="s">
        <v>2726</v>
      </c>
      <c r="G896" s="2">
        <v>0</v>
      </c>
      <c r="H896" s="2" t="s">
        <v>58</v>
      </c>
      <c r="I896" s="1">
        <v>0</v>
      </c>
      <c r="J896" s="3" t="s">
        <v>447</v>
      </c>
      <c r="K896" s="2" t="str">
        <f>J896*1127.00</f>
        <v>0</v>
      </c>
      <c r="L896" s="5"/>
    </row>
    <row r="897" spans="1:12" customHeight="1" ht="105" outlineLevel="4">
      <c r="A897" s="1"/>
      <c r="B897" s="1">
        <v>818658</v>
      </c>
      <c r="C897" s="1" t="s">
        <v>2727</v>
      </c>
      <c r="D897" s="1" t="s">
        <v>2728</v>
      </c>
      <c r="E897" s="2" t="s">
        <v>2729</v>
      </c>
      <c r="F897" s="2" t="s">
        <v>2730</v>
      </c>
      <c r="G897" s="2">
        <v>3</v>
      </c>
      <c r="H897" s="2" t="s">
        <v>58</v>
      </c>
      <c r="I897" s="1">
        <v>0</v>
      </c>
      <c r="J897" s="3" t="s">
        <v>447</v>
      </c>
      <c r="K897" s="2" t="str">
        <f>J897*178.00</f>
        <v>0</v>
      </c>
      <c r="L897" s="5"/>
    </row>
    <row r="898" spans="1:12" customHeight="1" ht="105" outlineLevel="4">
      <c r="A898" s="1"/>
      <c r="B898" s="1">
        <v>903223</v>
      </c>
      <c r="C898" s="1" t="s">
        <v>2731</v>
      </c>
      <c r="D898" s="1" t="s">
        <v>2732</v>
      </c>
      <c r="E898" s="2" t="s">
        <v>2733</v>
      </c>
      <c r="F898" s="2" t="s">
        <v>2734</v>
      </c>
      <c r="G898" s="2">
        <v>8</v>
      </c>
      <c r="H898" s="2" t="s">
        <v>152</v>
      </c>
      <c r="I898" s="1">
        <v>0</v>
      </c>
      <c r="J898" s="3" t="s">
        <v>447</v>
      </c>
      <c r="K898" s="2" t="str">
        <f>J898*219.00</f>
        <v>0</v>
      </c>
      <c r="L898" s="5"/>
    </row>
    <row r="899" spans="1:12" customHeight="1" ht="105" outlineLevel="4">
      <c r="A899" s="1"/>
      <c r="B899" s="1">
        <v>903224</v>
      </c>
      <c r="C899" s="1" t="s">
        <v>2735</v>
      </c>
      <c r="D899" s="1" t="s">
        <v>2736</v>
      </c>
      <c r="E899" s="2" t="s">
        <v>2737</v>
      </c>
      <c r="F899" s="2" t="s">
        <v>2738</v>
      </c>
      <c r="G899" s="2">
        <v>2</v>
      </c>
      <c r="H899" s="2" t="s">
        <v>153</v>
      </c>
      <c r="I899" s="1">
        <v>0</v>
      </c>
      <c r="J899" s="3" t="s">
        <v>447</v>
      </c>
      <c r="K899" s="2" t="str">
        <f>J899*536.00</f>
        <v>0</v>
      </c>
      <c r="L899" s="5"/>
    </row>
    <row r="900" spans="1:12" customHeight="1" ht="105" outlineLevel="4">
      <c r="A900" s="1"/>
      <c r="B900" s="1">
        <v>818661</v>
      </c>
      <c r="C900" s="1" t="s">
        <v>2739</v>
      </c>
      <c r="D900" s="1" t="s">
        <v>2740</v>
      </c>
      <c r="E900" s="2" t="s">
        <v>2741</v>
      </c>
      <c r="F900" s="2" t="s">
        <v>2742</v>
      </c>
      <c r="G900" s="2">
        <v>5</v>
      </c>
      <c r="H900" s="2">
        <v>0</v>
      </c>
      <c r="I900" s="1">
        <v>0</v>
      </c>
      <c r="J900" s="3" t="s">
        <v>447</v>
      </c>
      <c r="K900" s="2" t="str">
        <f>J900*169.00</f>
        <v>0</v>
      </c>
      <c r="L900" s="5"/>
    </row>
    <row r="901" spans="1:12" customHeight="1" ht="105" outlineLevel="4">
      <c r="A901" s="1"/>
      <c r="B901" s="1">
        <v>903225</v>
      </c>
      <c r="C901" s="1" t="s">
        <v>2743</v>
      </c>
      <c r="D901" s="1" t="s">
        <v>2744</v>
      </c>
      <c r="E901" s="2" t="s">
        <v>2745</v>
      </c>
      <c r="F901" s="2" t="s">
        <v>2746</v>
      </c>
      <c r="G901" s="2" t="s">
        <v>153</v>
      </c>
      <c r="H901" s="2" t="s">
        <v>74</v>
      </c>
      <c r="I901" s="1">
        <v>0</v>
      </c>
      <c r="J901" s="3" t="s">
        <v>447</v>
      </c>
      <c r="K901" s="2" t="str">
        <f>J901*270.00</f>
        <v>0</v>
      </c>
      <c r="L901" s="5"/>
    </row>
    <row r="902" spans="1:12" customHeight="1" ht="105" outlineLevel="4">
      <c r="A902" s="1"/>
      <c r="B902" s="1">
        <v>903226</v>
      </c>
      <c r="C902" s="1" t="s">
        <v>2747</v>
      </c>
      <c r="D902" s="1" t="s">
        <v>2748</v>
      </c>
      <c r="E902" s="2" t="s">
        <v>2749</v>
      </c>
      <c r="F902" s="2" t="s">
        <v>2750</v>
      </c>
      <c r="G902" s="2">
        <v>0</v>
      </c>
      <c r="H902" s="2" t="s">
        <v>152</v>
      </c>
      <c r="I902" s="1">
        <v>0</v>
      </c>
      <c r="J902" s="3" t="s">
        <v>447</v>
      </c>
      <c r="K902" s="2" t="str">
        <f>J902*488.00</f>
        <v>0</v>
      </c>
      <c r="L902" s="5"/>
    </row>
    <row r="903" spans="1:12" customHeight="1" ht="105" outlineLevel="4">
      <c r="A903" s="1"/>
      <c r="B903" s="1">
        <v>818664</v>
      </c>
      <c r="C903" s="1" t="s">
        <v>2751</v>
      </c>
      <c r="D903" s="1" t="s">
        <v>2752</v>
      </c>
      <c r="E903" s="2" t="s">
        <v>2753</v>
      </c>
      <c r="F903" s="2" t="s">
        <v>2754</v>
      </c>
      <c r="G903" s="2" t="s">
        <v>58</v>
      </c>
      <c r="H903" s="2" t="s">
        <v>180</v>
      </c>
      <c r="I903" s="1">
        <v>0</v>
      </c>
      <c r="J903" s="3" t="s">
        <v>447</v>
      </c>
      <c r="K903" s="2" t="str">
        <f>J903*361.00</f>
        <v>0</v>
      </c>
      <c r="L903" s="5"/>
    </row>
    <row r="904" spans="1:12" customHeight="1" ht="105" outlineLevel="4">
      <c r="A904" s="1"/>
      <c r="B904" s="1">
        <v>903227</v>
      </c>
      <c r="C904" s="1" t="s">
        <v>2755</v>
      </c>
      <c r="D904" s="1" t="s">
        <v>2756</v>
      </c>
      <c r="E904" s="2" t="s">
        <v>2757</v>
      </c>
      <c r="F904" s="2" t="s">
        <v>2758</v>
      </c>
      <c r="G904" s="2" t="s">
        <v>153</v>
      </c>
      <c r="H904" s="2" t="s">
        <v>58</v>
      </c>
      <c r="I904" s="1">
        <v>0</v>
      </c>
      <c r="J904" s="3" t="s">
        <v>447</v>
      </c>
      <c r="K904" s="2" t="str">
        <f>J904*394.00</f>
        <v>0</v>
      </c>
      <c r="L904" s="5"/>
    </row>
    <row r="905" spans="1:12" customHeight="1" ht="105" outlineLevel="4">
      <c r="A905" s="1"/>
      <c r="B905" s="1">
        <v>903228</v>
      </c>
      <c r="C905" s="1" t="s">
        <v>2759</v>
      </c>
      <c r="D905" s="1" t="s">
        <v>2760</v>
      </c>
      <c r="E905" s="2" t="s">
        <v>2761</v>
      </c>
      <c r="F905" s="2" t="s">
        <v>2454</v>
      </c>
      <c r="G905" s="2">
        <v>0</v>
      </c>
      <c r="H905" s="2">
        <v>0</v>
      </c>
      <c r="I905" s="1">
        <v>0</v>
      </c>
      <c r="J905" s="3" t="s">
        <v>447</v>
      </c>
      <c r="K905" s="2" t="str">
        <f>J905*75.00</f>
        <v>0</v>
      </c>
      <c r="L905" s="5"/>
    </row>
    <row r="906" spans="1:12" customHeight="1" ht="105" outlineLevel="4">
      <c r="A906" s="1"/>
      <c r="B906" s="1">
        <v>818667</v>
      </c>
      <c r="C906" s="1" t="s">
        <v>2762</v>
      </c>
      <c r="D906" s="1" t="s">
        <v>2763</v>
      </c>
      <c r="E906" s="2" t="s">
        <v>2764</v>
      </c>
      <c r="F906" s="2" t="s">
        <v>2481</v>
      </c>
      <c r="G906" s="2" t="s">
        <v>180</v>
      </c>
      <c r="H906" s="2" t="s">
        <v>222</v>
      </c>
      <c r="I906" s="1">
        <v>0</v>
      </c>
      <c r="J906" s="3" t="s">
        <v>447</v>
      </c>
      <c r="K906" s="2" t="str">
        <f>J906*18.00</f>
        <v>0</v>
      </c>
      <c r="L906" s="5"/>
    </row>
    <row r="907" spans="1:12" customHeight="1" ht="105" outlineLevel="4">
      <c r="A907" s="1"/>
      <c r="B907" s="1">
        <v>903229</v>
      </c>
      <c r="C907" s="1" t="s">
        <v>2765</v>
      </c>
      <c r="D907" s="1" t="s">
        <v>2766</v>
      </c>
      <c r="E907" s="2" t="s">
        <v>2767</v>
      </c>
      <c r="F907" s="2" t="s">
        <v>2422</v>
      </c>
      <c r="G907" s="2" t="s">
        <v>136</v>
      </c>
      <c r="H907" s="2" t="s">
        <v>222</v>
      </c>
      <c r="I907" s="1">
        <v>0</v>
      </c>
      <c r="J907" s="3" t="s">
        <v>447</v>
      </c>
      <c r="K907" s="2" t="str">
        <f>J907*28.00</f>
        <v>0</v>
      </c>
      <c r="L907" s="5"/>
    </row>
    <row r="908" spans="1:12" customHeight="1" ht="105" outlineLevel="4">
      <c r="A908" s="1"/>
      <c r="B908" s="1">
        <v>903230</v>
      </c>
      <c r="C908" s="1" t="s">
        <v>2768</v>
      </c>
      <c r="D908" s="1" t="s">
        <v>2769</v>
      </c>
      <c r="E908" s="2" t="s">
        <v>2770</v>
      </c>
      <c r="F908" s="2" t="s">
        <v>2771</v>
      </c>
      <c r="G908" s="2" t="s">
        <v>58</v>
      </c>
      <c r="H908" s="2" t="s">
        <v>222</v>
      </c>
      <c r="I908" s="1">
        <v>0</v>
      </c>
      <c r="J908" s="3" t="s">
        <v>447</v>
      </c>
      <c r="K908" s="2" t="str">
        <f>J908*47.00</f>
        <v>0</v>
      </c>
      <c r="L908" s="5"/>
    </row>
    <row r="909" spans="1:12" customHeight="1" ht="105" outlineLevel="4">
      <c r="A909" s="1"/>
      <c r="B909" s="1">
        <v>903231</v>
      </c>
      <c r="C909" s="1" t="s">
        <v>2772</v>
      </c>
      <c r="D909" s="1" t="s">
        <v>2773</v>
      </c>
      <c r="E909" s="2" t="s">
        <v>2774</v>
      </c>
      <c r="F909" s="2" t="s">
        <v>2775</v>
      </c>
      <c r="G909" s="2" t="s">
        <v>152</v>
      </c>
      <c r="H909" s="2" t="s">
        <v>136</v>
      </c>
      <c r="I909" s="1">
        <v>0</v>
      </c>
      <c r="J909" s="3" t="s">
        <v>447</v>
      </c>
      <c r="K909" s="2" t="str">
        <f>J909*89.00</f>
        <v>0</v>
      </c>
      <c r="L909" s="5"/>
    </row>
    <row r="910" spans="1:12" customHeight="1" ht="105" outlineLevel="4">
      <c r="A910" s="1"/>
      <c r="B910" s="1">
        <v>903232</v>
      </c>
      <c r="C910" s="1" t="s">
        <v>2776</v>
      </c>
      <c r="D910" s="1" t="s">
        <v>2777</v>
      </c>
      <c r="E910" s="2" t="s">
        <v>2778</v>
      </c>
      <c r="F910" s="2" t="s">
        <v>2361</v>
      </c>
      <c r="G910" s="2">
        <v>10</v>
      </c>
      <c r="H910" s="2" t="s">
        <v>58</v>
      </c>
      <c r="I910" s="1">
        <v>0</v>
      </c>
      <c r="J910" s="3" t="s">
        <v>447</v>
      </c>
      <c r="K910" s="2" t="str">
        <f>J910*159.00</f>
        <v>0</v>
      </c>
      <c r="L910" s="5"/>
    </row>
    <row r="911" spans="1:12" customHeight="1" ht="105" outlineLevel="4">
      <c r="A911" s="1"/>
      <c r="B911" s="1">
        <v>903233</v>
      </c>
      <c r="C911" s="1" t="s">
        <v>2779</v>
      </c>
      <c r="D911" s="1" t="s">
        <v>2780</v>
      </c>
      <c r="E911" s="2" t="s">
        <v>2781</v>
      </c>
      <c r="F911" s="2" t="s">
        <v>2782</v>
      </c>
      <c r="G911" s="2">
        <v>1</v>
      </c>
      <c r="H911" s="2" t="s">
        <v>58</v>
      </c>
      <c r="I911" s="1">
        <v>0</v>
      </c>
      <c r="J911" s="3" t="s">
        <v>447</v>
      </c>
      <c r="K911" s="2" t="str">
        <f>J911*319.00</f>
        <v>0</v>
      </c>
      <c r="L911" s="5"/>
    </row>
    <row r="912" spans="1:12" customHeight="1" ht="105" outlineLevel="4">
      <c r="A912" s="1"/>
      <c r="B912" s="1">
        <v>903234</v>
      </c>
      <c r="C912" s="1" t="s">
        <v>2783</v>
      </c>
      <c r="D912" s="1" t="s">
        <v>2784</v>
      </c>
      <c r="E912" s="2" t="s">
        <v>2785</v>
      </c>
      <c r="F912" s="2" t="s">
        <v>2786</v>
      </c>
      <c r="G912" s="2">
        <v>0</v>
      </c>
      <c r="H912" s="2" t="s">
        <v>153</v>
      </c>
      <c r="I912" s="1">
        <v>0</v>
      </c>
      <c r="J912" s="3" t="s">
        <v>447</v>
      </c>
      <c r="K912" s="2" t="str">
        <f>J912*557.00</f>
        <v>0</v>
      </c>
      <c r="L912" s="5"/>
    </row>
    <row r="913" spans="1:12" customHeight="1" ht="105" outlineLevel="4">
      <c r="A913" s="1"/>
      <c r="B913" s="1">
        <v>903235</v>
      </c>
      <c r="C913" s="1" t="s">
        <v>2787</v>
      </c>
      <c r="D913" s="1" t="s">
        <v>2788</v>
      </c>
      <c r="E913" s="2" t="s">
        <v>2789</v>
      </c>
      <c r="F913" s="2" t="s">
        <v>2790</v>
      </c>
      <c r="G913" s="2">
        <v>0</v>
      </c>
      <c r="H913" s="2" t="s">
        <v>152</v>
      </c>
      <c r="I913" s="1">
        <v>0</v>
      </c>
      <c r="J913" s="3" t="s">
        <v>447</v>
      </c>
      <c r="K913" s="2" t="str">
        <f>J913*1035.00</f>
        <v>0</v>
      </c>
      <c r="L913" s="5"/>
    </row>
    <row r="914" spans="1:12" customHeight="1" ht="105" outlineLevel="4">
      <c r="A914" s="1"/>
      <c r="B914" s="1">
        <v>903236</v>
      </c>
      <c r="C914" s="1" t="s">
        <v>2791</v>
      </c>
      <c r="D914" s="1" t="s">
        <v>2792</v>
      </c>
      <c r="E914" s="2" t="s">
        <v>2793</v>
      </c>
      <c r="F914" s="2" t="s">
        <v>2794</v>
      </c>
      <c r="G914" s="2">
        <v>0</v>
      </c>
      <c r="H914" s="2" t="s">
        <v>180</v>
      </c>
      <c r="I914" s="1">
        <v>0</v>
      </c>
      <c r="J914" s="3" t="s">
        <v>447</v>
      </c>
      <c r="K914" s="2" t="str">
        <f>J914*157.00</f>
        <v>0</v>
      </c>
      <c r="L914" s="5"/>
    </row>
    <row r="915" spans="1:12" customHeight="1" ht="105" outlineLevel="4">
      <c r="A915" s="1"/>
      <c r="B915" s="1">
        <v>903237</v>
      </c>
      <c r="C915" s="1" t="s">
        <v>2795</v>
      </c>
      <c r="D915" s="1" t="s">
        <v>2796</v>
      </c>
      <c r="E915" s="2" t="s">
        <v>2797</v>
      </c>
      <c r="F915" s="2" t="s">
        <v>2798</v>
      </c>
      <c r="G915" s="2" t="s">
        <v>153</v>
      </c>
      <c r="H915" s="2" t="s">
        <v>58</v>
      </c>
      <c r="I915" s="1">
        <v>0</v>
      </c>
      <c r="J915" s="3" t="s">
        <v>447</v>
      </c>
      <c r="K915" s="2" t="str">
        <f>J915*194.00</f>
        <v>0</v>
      </c>
      <c r="L915" s="5"/>
    </row>
    <row r="916" spans="1:12" customHeight="1" ht="105" outlineLevel="4">
      <c r="A916" s="1"/>
      <c r="B916" s="1">
        <v>818677</v>
      </c>
      <c r="C916" s="1" t="s">
        <v>2799</v>
      </c>
      <c r="D916" s="1" t="s">
        <v>2800</v>
      </c>
      <c r="E916" s="2" t="s">
        <v>2801</v>
      </c>
      <c r="F916" s="2" t="s">
        <v>2802</v>
      </c>
      <c r="G916" s="2" t="s">
        <v>152</v>
      </c>
      <c r="H916" s="2" t="s">
        <v>136</v>
      </c>
      <c r="I916" s="1">
        <v>0</v>
      </c>
      <c r="J916" s="3" t="s">
        <v>447</v>
      </c>
      <c r="K916" s="2" t="str">
        <f>J916*179.00</f>
        <v>0</v>
      </c>
      <c r="L916" s="5"/>
    </row>
    <row r="917" spans="1:12" customHeight="1" ht="105" outlineLevel="4">
      <c r="A917" s="1"/>
      <c r="B917" s="1">
        <v>903238</v>
      </c>
      <c r="C917" s="1" t="s">
        <v>2803</v>
      </c>
      <c r="D917" s="1" t="s">
        <v>2804</v>
      </c>
      <c r="E917" s="2" t="s">
        <v>2805</v>
      </c>
      <c r="F917" s="2" t="s">
        <v>2806</v>
      </c>
      <c r="G917" s="2" t="s">
        <v>153</v>
      </c>
      <c r="H917" s="2" t="s">
        <v>58</v>
      </c>
      <c r="I917" s="1">
        <v>0</v>
      </c>
      <c r="J917" s="3" t="s">
        <v>447</v>
      </c>
      <c r="K917" s="2" t="str">
        <f>J917*214.00</f>
        <v>0</v>
      </c>
      <c r="L917" s="5"/>
    </row>
    <row r="918" spans="1:12" customHeight="1" ht="105" outlineLevel="4">
      <c r="A918" s="1"/>
      <c r="B918" s="1">
        <v>818679</v>
      </c>
      <c r="C918" s="1" t="s">
        <v>2807</v>
      </c>
      <c r="D918" s="1" t="s">
        <v>2808</v>
      </c>
      <c r="E918" s="2" t="s">
        <v>2809</v>
      </c>
      <c r="F918" s="2" t="s">
        <v>2810</v>
      </c>
      <c r="G918" s="2" t="s">
        <v>153</v>
      </c>
      <c r="H918" s="2" t="s">
        <v>136</v>
      </c>
      <c r="I918" s="1">
        <v>0</v>
      </c>
      <c r="J918" s="3" t="s">
        <v>447</v>
      </c>
      <c r="K918" s="2" t="str">
        <f>J918*285.00</f>
        <v>0</v>
      </c>
      <c r="L918" s="5"/>
    </row>
    <row r="919" spans="1:12" customHeight="1" ht="105" outlineLevel="4">
      <c r="A919" s="1"/>
      <c r="B919" s="1">
        <v>903239</v>
      </c>
      <c r="C919" s="1" t="s">
        <v>2811</v>
      </c>
      <c r="D919" s="1" t="s">
        <v>2812</v>
      </c>
      <c r="E919" s="2" t="s">
        <v>2813</v>
      </c>
      <c r="F919" s="2" t="s">
        <v>2814</v>
      </c>
      <c r="G919" s="2" t="s">
        <v>153</v>
      </c>
      <c r="H919" s="2" t="s">
        <v>58</v>
      </c>
      <c r="I919" s="1">
        <v>0</v>
      </c>
      <c r="J919" s="3" t="s">
        <v>447</v>
      </c>
      <c r="K919" s="2" t="str">
        <f>J919*308.00</f>
        <v>0</v>
      </c>
      <c r="L919" s="5"/>
    </row>
    <row r="920" spans="1:12" customHeight="1" ht="105" outlineLevel="4">
      <c r="A920" s="1"/>
      <c r="B920" s="1">
        <v>903240</v>
      </c>
      <c r="C920" s="1" t="s">
        <v>2815</v>
      </c>
      <c r="D920" s="1" t="s">
        <v>2816</v>
      </c>
      <c r="E920" s="2" t="s">
        <v>2817</v>
      </c>
      <c r="F920" s="2" t="s">
        <v>2818</v>
      </c>
      <c r="G920" s="2" t="s">
        <v>74</v>
      </c>
      <c r="H920" s="2" t="s">
        <v>58</v>
      </c>
      <c r="I920" s="1">
        <v>0</v>
      </c>
      <c r="J920" s="3" t="s">
        <v>447</v>
      </c>
      <c r="K920" s="2" t="str">
        <f>J920*382.00</f>
        <v>0</v>
      </c>
      <c r="L920" s="5"/>
    </row>
    <row r="921" spans="1:12" customHeight="1" ht="105" outlineLevel="4">
      <c r="A921" s="1"/>
      <c r="B921" s="1">
        <v>818682</v>
      </c>
      <c r="C921" s="1" t="s">
        <v>2819</v>
      </c>
      <c r="D921" s="1" t="s">
        <v>2820</v>
      </c>
      <c r="E921" s="2" t="s">
        <v>2821</v>
      </c>
      <c r="F921" s="2" t="s">
        <v>2822</v>
      </c>
      <c r="G921" s="2" t="s">
        <v>152</v>
      </c>
      <c r="H921" s="2" t="s">
        <v>180</v>
      </c>
      <c r="I921" s="1">
        <v>0</v>
      </c>
      <c r="J921" s="3" t="s">
        <v>447</v>
      </c>
      <c r="K921" s="2" t="str">
        <f>J921*196.00</f>
        <v>0</v>
      </c>
      <c r="L921" s="5"/>
    </row>
    <row r="922" spans="1:12" customHeight="1" ht="105" outlineLevel="4">
      <c r="A922" s="1"/>
      <c r="B922" s="1">
        <v>903241</v>
      </c>
      <c r="C922" s="1" t="s">
        <v>2823</v>
      </c>
      <c r="D922" s="1" t="s">
        <v>2824</v>
      </c>
      <c r="E922" s="2" t="s">
        <v>2825</v>
      </c>
      <c r="F922" s="2" t="s">
        <v>2331</v>
      </c>
      <c r="G922" s="2" t="s">
        <v>74</v>
      </c>
      <c r="H922" s="2" t="s">
        <v>58</v>
      </c>
      <c r="I922" s="1">
        <v>0</v>
      </c>
      <c r="J922" s="3" t="s">
        <v>447</v>
      </c>
      <c r="K922" s="2" t="str">
        <f>J922*246.00</f>
        <v>0</v>
      </c>
      <c r="L922" s="5"/>
    </row>
    <row r="923" spans="1:12" customHeight="1" ht="105" outlineLevel="4">
      <c r="A923" s="1"/>
      <c r="B923" s="1">
        <v>818684</v>
      </c>
      <c r="C923" s="1" t="s">
        <v>2826</v>
      </c>
      <c r="D923" s="1" t="s">
        <v>2827</v>
      </c>
      <c r="E923" s="2" t="s">
        <v>2828</v>
      </c>
      <c r="F923" s="2" t="s">
        <v>2829</v>
      </c>
      <c r="G923" s="2" t="s">
        <v>152</v>
      </c>
      <c r="H923" s="2" t="s">
        <v>180</v>
      </c>
      <c r="I923" s="1">
        <v>0</v>
      </c>
      <c r="J923" s="3" t="s">
        <v>447</v>
      </c>
      <c r="K923" s="2" t="str">
        <f>J923*248.00</f>
        <v>0</v>
      </c>
      <c r="L923" s="5"/>
    </row>
    <row r="924" spans="1:12" customHeight="1" ht="105" outlineLevel="4">
      <c r="A924" s="1"/>
      <c r="B924" s="1">
        <v>903242</v>
      </c>
      <c r="C924" s="1" t="s">
        <v>2830</v>
      </c>
      <c r="D924" s="1" t="s">
        <v>2831</v>
      </c>
      <c r="E924" s="2" t="s">
        <v>2832</v>
      </c>
      <c r="F924" s="2" t="s">
        <v>2833</v>
      </c>
      <c r="G924" s="2" t="s">
        <v>58</v>
      </c>
      <c r="H924" s="2" t="s">
        <v>58</v>
      </c>
      <c r="I924" s="1">
        <v>0</v>
      </c>
      <c r="J924" s="3" t="s">
        <v>447</v>
      </c>
      <c r="K924" s="2" t="str">
        <f>J924*307.00</f>
        <v>0</v>
      </c>
      <c r="L924" s="5"/>
    </row>
    <row r="925" spans="1:12" customHeight="1" ht="105" outlineLevel="4">
      <c r="A925" s="1"/>
      <c r="B925" s="1">
        <v>818686</v>
      </c>
      <c r="C925" s="1" t="s">
        <v>2834</v>
      </c>
      <c r="D925" s="1" t="s">
        <v>2835</v>
      </c>
      <c r="E925" s="2" t="s">
        <v>2836</v>
      </c>
      <c r="F925" s="2" t="s">
        <v>2837</v>
      </c>
      <c r="G925" s="2" t="s">
        <v>153</v>
      </c>
      <c r="H925" s="2" t="s">
        <v>136</v>
      </c>
      <c r="I925" s="1">
        <v>0</v>
      </c>
      <c r="J925" s="3" t="s">
        <v>447</v>
      </c>
      <c r="K925" s="2" t="str">
        <f>J925*330.00</f>
        <v>0</v>
      </c>
      <c r="L925" s="5"/>
    </row>
    <row r="926" spans="1:12" customHeight="1" ht="105" outlineLevel="4">
      <c r="A926" s="1"/>
      <c r="B926" s="1">
        <v>903243</v>
      </c>
      <c r="C926" s="1" t="s">
        <v>2838</v>
      </c>
      <c r="D926" s="1" t="s">
        <v>2839</v>
      </c>
      <c r="E926" s="2" t="s">
        <v>2840</v>
      </c>
      <c r="F926" s="2" t="s">
        <v>2841</v>
      </c>
      <c r="G926" s="2" t="s">
        <v>153</v>
      </c>
      <c r="H926" s="2" t="s">
        <v>58</v>
      </c>
      <c r="I926" s="1">
        <v>0</v>
      </c>
      <c r="J926" s="3" t="s">
        <v>447</v>
      </c>
      <c r="K926" s="2" t="str">
        <f>J926*365.00</f>
        <v>0</v>
      </c>
      <c r="L926" s="5"/>
    </row>
    <row r="927" spans="1:12" customHeight="1" ht="105" outlineLevel="4">
      <c r="A927" s="1"/>
      <c r="B927" s="1">
        <v>903244</v>
      </c>
      <c r="C927" s="1" t="s">
        <v>2842</v>
      </c>
      <c r="D927" s="1" t="s">
        <v>2843</v>
      </c>
      <c r="E927" s="2" t="s">
        <v>2844</v>
      </c>
      <c r="F927" s="2" t="s">
        <v>2845</v>
      </c>
      <c r="G927" s="2" t="s">
        <v>58</v>
      </c>
      <c r="H927" s="2" t="s">
        <v>58</v>
      </c>
      <c r="I927" s="1">
        <v>0</v>
      </c>
      <c r="J927" s="3" t="s">
        <v>447</v>
      </c>
      <c r="K927" s="2" t="str">
        <f>J927*454.00</f>
        <v>0</v>
      </c>
      <c r="L927" s="5"/>
    </row>
    <row r="928" spans="1:12" customHeight="1" ht="105" outlineLevel="4">
      <c r="A928" s="1"/>
      <c r="B928" s="1">
        <v>818689</v>
      </c>
      <c r="C928" s="1" t="s">
        <v>2846</v>
      </c>
      <c r="D928" s="1" t="s">
        <v>2847</v>
      </c>
      <c r="E928" s="2" t="s">
        <v>2848</v>
      </c>
      <c r="F928" s="2" t="s">
        <v>2849</v>
      </c>
      <c r="G928" s="2" t="s">
        <v>153</v>
      </c>
      <c r="H928" s="2" t="s">
        <v>74</v>
      </c>
      <c r="I928" s="1">
        <v>0</v>
      </c>
      <c r="J928" s="3" t="s">
        <v>447</v>
      </c>
      <c r="K928" s="2" t="str">
        <f>J928*289.00</f>
        <v>0</v>
      </c>
      <c r="L928" s="5"/>
    </row>
    <row r="929" spans="1:12" customHeight="1" ht="105" outlineLevel="4">
      <c r="A929" s="1"/>
      <c r="B929" s="1">
        <v>818690</v>
      </c>
      <c r="C929" s="1" t="s">
        <v>2850</v>
      </c>
      <c r="D929" s="1" t="s">
        <v>2851</v>
      </c>
      <c r="E929" s="2" t="s">
        <v>2852</v>
      </c>
      <c r="F929" s="2" t="s">
        <v>2782</v>
      </c>
      <c r="G929" s="2">
        <v>9</v>
      </c>
      <c r="H929" s="2" t="s">
        <v>58</v>
      </c>
      <c r="I929" s="1">
        <v>0</v>
      </c>
      <c r="J929" s="3" t="s">
        <v>447</v>
      </c>
      <c r="K929" s="2" t="str">
        <f>J929*319.00</f>
        <v>0</v>
      </c>
      <c r="L929" s="5"/>
    </row>
    <row r="930" spans="1:12" customHeight="1" ht="105" outlineLevel="4">
      <c r="A930" s="1"/>
      <c r="B930" s="1">
        <v>903245</v>
      </c>
      <c r="C930" s="1" t="s">
        <v>2853</v>
      </c>
      <c r="D930" s="1" t="s">
        <v>2854</v>
      </c>
      <c r="E930" s="2" t="s">
        <v>2855</v>
      </c>
      <c r="F930" s="2" t="s">
        <v>2856</v>
      </c>
      <c r="G930" s="2" t="s">
        <v>74</v>
      </c>
      <c r="H930" s="2" t="s">
        <v>136</v>
      </c>
      <c r="I930" s="1">
        <v>0</v>
      </c>
      <c r="J930" s="3" t="s">
        <v>447</v>
      </c>
      <c r="K930" s="2" t="str">
        <f>J930*33.00</f>
        <v>0</v>
      </c>
      <c r="L930" s="5"/>
    </row>
    <row r="931" spans="1:12" customHeight="1" ht="105" outlineLevel="4">
      <c r="A931" s="1"/>
      <c r="B931" s="1">
        <v>903246</v>
      </c>
      <c r="C931" s="1" t="s">
        <v>2857</v>
      </c>
      <c r="D931" s="1" t="s">
        <v>2858</v>
      </c>
      <c r="E931" s="2" t="s">
        <v>2859</v>
      </c>
      <c r="F931" s="2" t="s">
        <v>2860</v>
      </c>
      <c r="G931" s="2" t="s">
        <v>58</v>
      </c>
      <c r="H931" s="2" t="s">
        <v>222</v>
      </c>
      <c r="I931" s="1">
        <v>0</v>
      </c>
      <c r="J931" s="3" t="s">
        <v>447</v>
      </c>
      <c r="K931" s="2" t="str">
        <f>J931*29.00</f>
        <v>0</v>
      </c>
      <c r="L931" s="5"/>
    </row>
    <row r="932" spans="1:12" customHeight="1" ht="105" outlineLevel="4">
      <c r="A932" s="1"/>
      <c r="B932" s="1">
        <v>903247</v>
      </c>
      <c r="C932" s="1" t="s">
        <v>2861</v>
      </c>
      <c r="D932" s="1" t="s">
        <v>2862</v>
      </c>
      <c r="E932" s="2" t="s">
        <v>2863</v>
      </c>
      <c r="F932" s="2" t="s">
        <v>1039</v>
      </c>
      <c r="G932" s="2" t="s">
        <v>74</v>
      </c>
      <c r="H932" s="2" t="s">
        <v>58</v>
      </c>
      <c r="I932" s="1">
        <v>0</v>
      </c>
      <c r="J932" s="3" t="s">
        <v>447</v>
      </c>
      <c r="K932" s="2" t="str">
        <f>J932*42.00</f>
        <v>0</v>
      </c>
      <c r="L932" s="5"/>
    </row>
    <row r="933" spans="1:12" customHeight="1" ht="105" outlineLevel="4">
      <c r="A933" s="1"/>
      <c r="B933" s="1">
        <v>903248</v>
      </c>
      <c r="C933" s="1" t="s">
        <v>2864</v>
      </c>
      <c r="D933" s="1" t="s">
        <v>2865</v>
      </c>
      <c r="E933" s="2" t="s">
        <v>2866</v>
      </c>
      <c r="F933" s="2" t="s">
        <v>2434</v>
      </c>
      <c r="G933" s="2" t="s">
        <v>58</v>
      </c>
      <c r="H933" s="2" t="s">
        <v>58</v>
      </c>
      <c r="I933" s="1">
        <v>0</v>
      </c>
      <c r="J933" s="3" t="s">
        <v>447</v>
      </c>
      <c r="K933" s="2" t="str">
        <f>J933*44.00</f>
        <v>0</v>
      </c>
      <c r="L933" s="5"/>
    </row>
    <row r="934" spans="1:12" customHeight="1" ht="105" outlineLevel="4">
      <c r="A934" s="1"/>
      <c r="B934" s="1">
        <v>903249</v>
      </c>
      <c r="C934" s="1" t="s">
        <v>2867</v>
      </c>
      <c r="D934" s="1" t="s">
        <v>2868</v>
      </c>
      <c r="E934" s="2" t="s">
        <v>2869</v>
      </c>
      <c r="F934" s="2" t="s">
        <v>2870</v>
      </c>
      <c r="G934" s="2" t="s">
        <v>58</v>
      </c>
      <c r="H934" s="2" t="s">
        <v>180</v>
      </c>
      <c r="I934" s="1">
        <v>0</v>
      </c>
      <c r="J934" s="3" t="s">
        <v>447</v>
      </c>
      <c r="K934" s="2" t="str">
        <f>J934*48.00</f>
        <v>0</v>
      </c>
      <c r="L934" s="5"/>
    </row>
    <row r="935" spans="1:12" customHeight="1" ht="105" outlineLevel="4">
      <c r="A935" s="1"/>
      <c r="B935" s="1">
        <v>903250</v>
      </c>
      <c r="C935" s="1" t="s">
        <v>2871</v>
      </c>
      <c r="D935" s="1" t="s">
        <v>2872</v>
      </c>
      <c r="E935" s="2" t="s">
        <v>2873</v>
      </c>
      <c r="F935" s="2" t="s">
        <v>2874</v>
      </c>
      <c r="G935" s="2" t="s">
        <v>153</v>
      </c>
      <c r="H935" s="2" t="s">
        <v>74</v>
      </c>
      <c r="I935" s="1">
        <v>0</v>
      </c>
      <c r="J935" s="3" t="s">
        <v>447</v>
      </c>
      <c r="K935" s="2" t="str">
        <f>J935*55.00</f>
        <v>0</v>
      </c>
      <c r="L935" s="5"/>
    </row>
    <row r="936" spans="1:12" customHeight="1" ht="105" outlineLevel="4">
      <c r="A936" s="1"/>
      <c r="B936" s="1">
        <v>903251</v>
      </c>
      <c r="C936" s="1" t="s">
        <v>2875</v>
      </c>
      <c r="D936" s="1" t="s">
        <v>2876</v>
      </c>
      <c r="E936" s="2" t="s">
        <v>2877</v>
      </c>
      <c r="F936" s="2" t="s">
        <v>2870</v>
      </c>
      <c r="G936" s="2" t="s">
        <v>152</v>
      </c>
      <c r="H936" s="2" t="s">
        <v>58</v>
      </c>
      <c r="I936" s="1">
        <v>0</v>
      </c>
      <c r="J936" s="3" t="s">
        <v>447</v>
      </c>
      <c r="K936" s="2" t="str">
        <f>J936*48.00</f>
        <v>0</v>
      </c>
      <c r="L936" s="5"/>
    </row>
    <row r="937" spans="1:12" customHeight="1" ht="105" outlineLevel="4">
      <c r="A937" s="1"/>
      <c r="B937" s="1">
        <v>818698</v>
      </c>
      <c r="C937" s="1" t="s">
        <v>2878</v>
      </c>
      <c r="D937" s="1" t="s">
        <v>2879</v>
      </c>
      <c r="E937" s="2" t="s">
        <v>2880</v>
      </c>
      <c r="F937" s="2" t="s">
        <v>2503</v>
      </c>
      <c r="G937" s="2" t="s">
        <v>58</v>
      </c>
      <c r="H937" s="2" t="s">
        <v>180</v>
      </c>
      <c r="I937" s="1">
        <v>0</v>
      </c>
      <c r="J937" s="3" t="s">
        <v>447</v>
      </c>
      <c r="K937" s="2" t="str">
        <f>J937*49.00</f>
        <v>0</v>
      </c>
      <c r="L937" s="5"/>
    </row>
    <row r="938" spans="1:12" customHeight="1" ht="105" outlineLevel="4">
      <c r="A938" s="1"/>
      <c r="B938" s="1">
        <v>903252</v>
      </c>
      <c r="C938" s="1" t="s">
        <v>2881</v>
      </c>
      <c r="D938" s="1" t="s">
        <v>2882</v>
      </c>
      <c r="E938" s="2" t="s">
        <v>2883</v>
      </c>
      <c r="F938" s="2" t="s">
        <v>2514</v>
      </c>
      <c r="G938" s="2" t="s">
        <v>152</v>
      </c>
      <c r="H938" s="2" t="s">
        <v>180</v>
      </c>
      <c r="I938" s="1">
        <v>0</v>
      </c>
      <c r="J938" s="3" t="s">
        <v>447</v>
      </c>
      <c r="K938" s="2" t="str">
        <f>J938*86.00</f>
        <v>0</v>
      </c>
      <c r="L938" s="5"/>
    </row>
    <row r="939" spans="1:12" customHeight="1" ht="105" outlineLevel="4">
      <c r="A939" s="1"/>
      <c r="B939" s="1">
        <v>903253</v>
      </c>
      <c r="C939" s="1" t="s">
        <v>2884</v>
      </c>
      <c r="D939" s="1" t="s">
        <v>2885</v>
      </c>
      <c r="E939" s="2" t="s">
        <v>2886</v>
      </c>
      <c r="F939" s="2" t="s">
        <v>2887</v>
      </c>
      <c r="G939" s="2">
        <v>9</v>
      </c>
      <c r="H939" s="2" t="s">
        <v>180</v>
      </c>
      <c r="I939" s="1">
        <v>0</v>
      </c>
      <c r="J939" s="3" t="s">
        <v>447</v>
      </c>
      <c r="K939" s="2" t="str">
        <f>J939*90.00</f>
        <v>0</v>
      </c>
      <c r="L939" s="5"/>
    </row>
    <row r="940" spans="1:12" customHeight="1" ht="105" outlineLevel="4">
      <c r="A940" s="1"/>
      <c r="B940" s="1">
        <v>903254</v>
      </c>
      <c r="C940" s="1" t="s">
        <v>2888</v>
      </c>
      <c r="D940" s="1" t="s">
        <v>2889</v>
      </c>
      <c r="E940" s="2" t="s">
        <v>2890</v>
      </c>
      <c r="F940" s="2" t="s">
        <v>2891</v>
      </c>
      <c r="G940" s="2">
        <v>5</v>
      </c>
      <c r="H940" s="2" t="s">
        <v>136</v>
      </c>
      <c r="I940" s="1">
        <v>0</v>
      </c>
      <c r="J940" s="3" t="s">
        <v>447</v>
      </c>
      <c r="K940" s="2" t="str">
        <f>J940*105.00</f>
        <v>0</v>
      </c>
      <c r="L940" s="5"/>
    </row>
    <row r="941" spans="1:12" customHeight="1" ht="105" outlineLevel="4">
      <c r="A941" s="1"/>
      <c r="B941" s="1">
        <v>903255</v>
      </c>
      <c r="C941" s="1" t="s">
        <v>2892</v>
      </c>
      <c r="D941" s="1" t="s">
        <v>2893</v>
      </c>
      <c r="E941" s="2" t="s">
        <v>2894</v>
      </c>
      <c r="F941" s="2" t="s">
        <v>2895</v>
      </c>
      <c r="G941" s="2" t="s">
        <v>152</v>
      </c>
      <c r="H941" s="2" t="s">
        <v>58</v>
      </c>
      <c r="I941" s="1">
        <v>0</v>
      </c>
      <c r="J941" s="3" t="s">
        <v>447</v>
      </c>
      <c r="K941" s="2" t="str">
        <f>J941*132.00</f>
        <v>0</v>
      </c>
      <c r="L941" s="5"/>
    </row>
    <row r="942" spans="1:12" customHeight="1" ht="105" outlineLevel="4">
      <c r="A942" s="1"/>
      <c r="B942" s="1">
        <v>903256</v>
      </c>
      <c r="C942" s="1" t="s">
        <v>2896</v>
      </c>
      <c r="D942" s="1" t="s">
        <v>2897</v>
      </c>
      <c r="E942" s="2" t="s">
        <v>2898</v>
      </c>
      <c r="F942" s="2" t="s">
        <v>2899</v>
      </c>
      <c r="G942" s="2" t="s">
        <v>152</v>
      </c>
      <c r="H942" s="2" t="s">
        <v>74</v>
      </c>
      <c r="I942" s="1">
        <v>0</v>
      </c>
      <c r="J942" s="3" t="s">
        <v>447</v>
      </c>
      <c r="K942" s="2" t="str">
        <f>J942*150.00</f>
        <v>0</v>
      </c>
      <c r="L942" s="5"/>
    </row>
    <row r="943" spans="1:12" customHeight="1" ht="105" outlineLevel="4">
      <c r="A943" s="1"/>
      <c r="B943" s="1">
        <v>903257</v>
      </c>
      <c r="C943" s="1" t="s">
        <v>2900</v>
      </c>
      <c r="D943" s="1" t="s">
        <v>2901</v>
      </c>
      <c r="E943" s="2" t="s">
        <v>2902</v>
      </c>
      <c r="F943" s="2" t="s">
        <v>2903</v>
      </c>
      <c r="G943" s="2" t="s">
        <v>153</v>
      </c>
      <c r="H943" s="2" t="s">
        <v>58</v>
      </c>
      <c r="I943" s="1">
        <v>0</v>
      </c>
      <c r="J943" s="3" t="s">
        <v>447</v>
      </c>
      <c r="K943" s="2" t="str">
        <f>J943*174.00</f>
        <v>0</v>
      </c>
      <c r="L943" s="5"/>
    </row>
    <row r="944" spans="1:12" customHeight="1" ht="105" outlineLevel="4">
      <c r="A944" s="1"/>
      <c r="B944" s="1">
        <v>903258</v>
      </c>
      <c r="C944" s="1" t="s">
        <v>2904</v>
      </c>
      <c r="D944" s="1" t="s">
        <v>2905</v>
      </c>
      <c r="E944" s="2" t="s">
        <v>2906</v>
      </c>
      <c r="F944" s="2" t="s">
        <v>2806</v>
      </c>
      <c r="G944" s="2" t="s">
        <v>153</v>
      </c>
      <c r="H944" s="2" t="s">
        <v>58</v>
      </c>
      <c r="I944" s="1">
        <v>0</v>
      </c>
      <c r="J944" s="3" t="s">
        <v>447</v>
      </c>
      <c r="K944" s="2" t="str">
        <f>J944*214.00</f>
        <v>0</v>
      </c>
      <c r="L944" s="5"/>
    </row>
    <row r="945" spans="1:12" customHeight="1" ht="105" outlineLevel="4">
      <c r="A945" s="1"/>
      <c r="B945" s="1">
        <v>903259</v>
      </c>
      <c r="C945" s="1" t="s">
        <v>2907</v>
      </c>
      <c r="D945" s="1" t="s">
        <v>2908</v>
      </c>
      <c r="E945" s="2" t="s">
        <v>2909</v>
      </c>
      <c r="F945" s="2" t="s">
        <v>2910</v>
      </c>
      <c r="G945" s="2">
        <v>0</v>
      </c>
      <c r="H945" s="2" t="s">
        <v>74</v>
      </c>
      <c r="I945" s="1">
        <v>0</v>
      </c>
      <c r="J945" s="3" t="s">
        <v>447</v>
      </c>
      <c r="K945" s="2" t="str">
        <f>J945*258.00</f>
        <v>0</v>
      </c>
      <c r="L945" s="5"/>
    </row>
    <row r="946" spans="1:12" customHeight="1" ht="105" outlineLevel="4">
      <c r="A946" s="1"/>
      <c r="B946" s="1">
        <v>903260</v>
      </c>
      <c r="C946" s="1" t="s">
        <v>2911</v>
      </c>
      <c r="D946" s="1" t="s">
        <v>2912</v>
      </c>
      <c r="E946" s="2" t="s">
        <v>2913</v>
      </c>
      <c r="F946" s="2" t="s">
        <v>2914</v>
      </c>
      <c r="G946" s="2">
        <v>5</v>
      </c>
      <c r="H946" s="2" t="s">
        <v>58</v>
      </c>
      <c r="I946" s="1">
        <v>0</v>
      </c>
      <c r="J946" s="3" t="s">
        <v>447</v>
      </c>
      <c r="K946" s="2" t="str">
        <f>J946*276.00</f>
        <v>0</v>
      </c>
      <c r="L946" s="5"/>
    </row>
    <row r="947" spans="1:12" customHeight="1" ht="105" outlineLevel="4">
      <c r="A947" s="1"/>
      <c r="B947" s="1">
        <v>903261</v>
      </c>
      <c r="C947" s="1" t="s">
        <v>2915</v>
      </c>
      <c r="D947" s="1" t="s">
        <v>2916</v>
      </c>
      <c r="E947" s="2" t="s">
        <v>2917</v>
      </c>
      <c r="F947" s="2" t="s">
        <v>2849</v>
      </c>
      <c r="G947" s="2">
        <v>0</v>
      </c>
      <c r="H947" s="2" t="s">
        <v>58</v>
      </c>
      <c r="I947" s="1">
        <v>0</v>
      </c>
      <c r="J947" s="3" t="s">
        <v>447</v>
      </c>
      <c r="K947" s="2" t="str">
        <f>J947*289.00</f>
        <v>0</v>
      </c>
      <c r="L947" s="5"/>
    </row>
    <row r="948" spans="1:12" customHeight="1" ht="105" outlineLevel="4">
      <c r="A948" s="1"/>
      <c r="B948" s="1">
        <v>903262</v>
      </c>
      <c r="C948" s="1" t="s">
        <v>2918</v>
      </c>
      <c r="D948" s="1" t="s">
        <v>2919</v>
      </c>
      <c r="E948" s="2" t="s">
        <v>2920</v>
      </c>
      <c r="F948" s="2" t="s">
        <v>2921</v>
      </c>
      <c r="G948" s="2">
        <v>1</v>
      </c>
      <c r="H948" s="2" t="s">
        <v>58</v>
      </c>
      <c r="I948" s="1">
        <v>0</v>
      </c>
      <c r="J948" s="3" t="s">
        <v>447</v>
      </c>
      <c r="K948" s="2" t="str">
        <f>J948*271.00</f>
        <v>0</v>
      </c>
      <c r="L948" s="5"/>
    </row>
    <row r="949" spans="1:12" customHeight="1" ht="105" outlineLevel="4">
      <c r="A949" s="1"/>
      <c r="B949" s="1">
        <v>903263</v>
      </c>
      <c r="C949" s="1" t="s">
        <v>2922</v>
      </c>
      <c r="D949" s="1" t="s">
        <v>2923</v>
      </c>
      <c r="E949" s="2" t="s">
        <v>2924</v>
      </c>
      <c r="F949" s="2" t="s">
        <v>2925</v>
      </c>
      <c r="G949" s="2">
        <v>2</v>
      </c>
      <c r="H949" s="2" t="s">
        <v>152</v>
      </c>
      <c r="I949" s="1">
        <v>0</v>
      </c>
      <c r="J949" s="3" t="s">
        <v>447</v>
      </c>
      <c r="K949" s="2" t="str">
        <f>J949*369.00</f>
        <v>0</v>
      </c>
      <c r="L949" s="5"/>
    </row>
    <row r="950" spans="1:12" customHeight="1" ht="105" outlineLevel="4">
      <c r="A950" s="1"/>
      <c r="B950" s="1">
        <v>903264</v>
      </c>
      <c r="C950" s="1" t="s">
        <v>2926</v>
      </c>
      <c r="D950" s="1" t="s">
        <v>2927</v>
      </c>
      <c r="E950" s="2" t="s">
        <v>2928</v>
      </c>
      <c r="F950" s="2" t="s">
        <v>2929</v>
      </c>
      <c r="G950" s="2">
        <v>0</v>
      </c>
      <c r="H950" s="2" t="s">
        <v>58</v>
      </c>
      <c r="I950" s="1">
        <v>0</v>
      </c>
      <c r="J950" s="3" t="s">
        <v>447</v>
      </c>
      <c r="K950" s="2" t="str">
        <f>J950*503.00</f>
        <v>0</v>
      </c>
      <c r="L950" s="5"/>
    </row>
    <row r="951" spans="1:12" customHeight="1" ht="105" outlineLevel="4">
      <c r="A951" s="1"/>
      <c r="B951" s="1">
        <v>903265</v>
      </c>
      <c r="C951" s="1" t="s">
        <v>2930</v>
      </c>
      <c r="D951" s="1" t="s">
        <v>2931</v>
      </c>
      <c r="E951" s="2" t="s">
        <v>2932</v>
      </c>
      <c r="F951" s="2" t="s">
        <v>2933</v>
      </c>
      <c r="G951" s="2">
        <v>0</v>
      </c>
      <c r="H951" s="2" t="s">
        <v>74</v>
      </c>
      <c r="I951" s="1">
        <v>0</v>
      </c>
      <c r="J951" s="3" t="s">
        <v>447</v>
      </c>
      <c r="K951" s="2" t="str">
        <f>J951*564.00</f>
        <v>0</v>
      </c>
      <c r="L951" s="5"/>
    </row>
    <row r="952" spans="1:12" customHeight="1" ht="105" outlineLevel="4">
      <c r="A952" s="1"/>
      <c r="B952" s="1">
        <v>903266</v>
      </c>
      <c r="C952" s="1" t="s">
        <v>2934</v>
      </c>
      <c r="D952" s="1" t="s">
        <v>2935</v>
      </c>
      <c r="E952" s="2" t="s">
        <v>2936</v>
      </c>
      <c r="F952" s="2" t="s">
        <v>2937</v>
      </c>
      <c r="G952" s="2">
        <v>0</v>
      </c>
      <c r="H952" s="2" t="s">
        <v>152</v>
      </c>
      <c r="I952" s="1">
        <v>0</v>
      </c>
      <c r="J952" s="3" t="s">
        <v>447</v>
      </c>
      <c r="K952" s="2" t="str">
        <f>J952*665.00</f>
        <v>0</v>
      </c>
      <c r="L952" s="5"/>
    </row>
    <row r="953" spans="1:12" customHeight="1" ht="105" outlineLevel="4">
      <c r="A953" s="1"/>
      <c r="B953" s="1">
        <v>903267</v>
      </c>
      <c r="C953" s="1" t="s">
        <v>2938</v>
      </c>
      <c r="D953" s="1" t="s">
        <v>2939</v>
      </c>
      <c r="E953" s="2" t="s">
        <v>2940</v>
      </c>
      <c r="F953" s="2" t="s">
        <v>2941</v>
      </c>
      <c r="G953" s="2" t="s">
        <v>58</v>
      </c>
      <c r="H953" s="2" t="s">
        <v>180</v>
      </c>
      <c r="I953" s="1">
        <v>0</v>
      </c>
      <c r="J953" s="3" t="s">
        <v>447</v>
      </c>
      <c r="K953" s="2" t="str">
        <f>J953*26.00</f>
        <v>0</v>
      </c>
      <c r="L953" s="5"/>
    </row>
    <row r="954" spans="1:12" customHeight="1" ht="105" outlineLevel="4">
      <c r="A954" s="1"/>
      <c r="B954" s="1">
        <v>903268</v>
      </c>
      <c r="C954" s="1" t="s">
        <v>2942</v>
      </c>
      <c r="D954" s="1" t="s">
        <v>2943</v>
      </c>
      <c r="E954" s="2" t="s">
        <v>2944</v>
      </c>
      <c r="F954" s="2" t="s">
        <v>2945</v>
      </c>
      <c r="G954" s="2" t="s">
        <v>74</v>
      </c>
      <c r="H954" s="2" t="s">
        <v>180</v>
      </c>
      <c r="I954" s="1">
        <v>0</v>
      </c>
      <c r="J954" s="3" t="s">
        <v>447</v>
      </c>
      <c r="K954" s="2" t="str">
        <f>J954*39.00</f>
        <v>0</v>
      </c>
      <c r="L954" s="5"/>
    </row>
    <row r="955" spans="1:12" customHeight="1" ht="105" outlineLevel="4">
      <c r="A955" s="1"/>
      <c r="B955" s="1">
        <v>903269</v>
      </c>
      <c r="C955" s="1" t="s">
        <v>2946</v>
      </c>
      <c r="D955" s="1" t="s">
        <v>2947</v>
      </c>
      <c r="E955" s="2" t="s">
        <v>2948</v>
      </c>
      <c r="F955" s="2" t="s">
        <v>2507</v>
      </c>
      <c r="G955" s="2" t="s">
        <v>152</v>
      </c>
      <c r="H955" s="2" t="s">
        <v>136</v>
      </c>
      <c r="I955" s="1">
        <v>0</v>
      </c>
      <c r="J955" s="3" t="s">
        <v>447</v>
      </c>
      <c r="K955" s="2" t="str">
        <f>J955*60.00</f>
        <v>0</v>
      </c>
      <c r="L955" s="5"/>
    </row>
    <row r="956" spans="1:12" customHeight="1" ht="105" outlineLevel="4">
      <c r="A956" s="1"/>
      <c r="B956" s="1">
        <v>903270</v>
      </c>
      <c r="C956" s="1" t="s">
        <v>2949</v>
      </c>
      <c r="D956" s="1" t="s">
        <v>2950</v>
      </c>
      <c r="E956" s="2" t="s">
        <v>2951</v>
      </c>
      <c r="F956" s="2" t="s">
        <v>2492</v>
      </c>
      <c r="G956" s="2" t="s">
        <v>152</v>
      </c>
      <c r="H956" s="2" t="s">
        <v>136</v>
      </c>
      <c r="I956" s="1">
        <v>0</v>
      </c>
      <c r="J956" s="3" t="s">
        <v>447</v>
      </c>
      <c r="K956" s="2" t="str">
        <f>J956*32.00</f>
        <v>0</v>
      </c>
      <c r="L956" s="5"/>
    </row>
    <row r="957" spans="1:12" customHeight="1" ht="105" outlineLevel="4">
      <c r="A957" s="1"/>
      <c r="B957" s="1">
        <v>903271</v>
      </c>
      <c r="C957" s="1" t="s">
        <v>2952</v>
      </c>
      <c r="D957" s="1" t="s">
        <v>2953</v>
      </c>
      <c r="E957" s="2" t="s">
        <v>2954</v>
      </c>
      <c r="F957" s="2" t="s">
        <v>2771</v>
      </c>
      <c r="G957" s="2" t="s">
        <v>152</v>
      </c>
      <c r="H957" s="2" t="s">
        <v>136</v>
      </c>
      <c r="I957" s="1">
        <v>0</v>
      </c>
      <c r="J957" s="3" t="s">
        <v>447</v>
      </c>
      <c r="K957" s="2" t="str">
        <f>J957*47.00</f>
        <v>0</v>
      </c>
      <c r="L957" s="5"/>
    </row>
    <row r="958" spans="1:12" customHeight="1" ht="105" outlineLevel="4">
      <c r="A958" s="1"/>
      <c r="B958" s="1">
        <v>903272</v>
      </c>
      <c r="C958" s="1" t="s">
        <v>2955</v>
      </c>
      <c r="D958" s="1" t="s">
        <v>2956</v>
      </c>
      <c r="E958" s="2" t="s">
        <v>2957</v>
      </c>
      <c r="F958" s="2" t="s">
        <v>429</v>
      </c>
      <c r="G958" s="2" t="s">
        <v>74</v>
      </c>
      <c r="H958" s="2" t="s">
        <v>58</v>
      </c>
      <c r="I958" s="1">
        <v>0</v>
      </c>
      <c r="J958" s="3" t="s">
        <v>447</v>
      </c>
      <c r="K958" s="2" t="str">
        <f>J958*82.00</f>
        <v>0</v>
      </c>
      <c r="L958" s="5"/>
    </row>
    <row r="959" spans="1:12" customHeight="1" ht="105" outlineLevel="4">
      <c r="A959" s="1"/>
      <c r="B959" s="1">
        <v>903273</v>
      </c>
      <c r="C959" s="1" t="s">
        <v>2958</v>
      </c>
      <c r="D959" s="1" t="s">
        <v>2959</v>
      </c>
      <c r="E959" s="2" t="s">
        <v>2960</v>
      </c>
      <c r="F959" s="2" t="s">
        <v>2961</v>
      </c>
      <c r="G959" s="2" t="s">
        <v>153</v>
      </c>
      <c r="H959" s="2" t="s">
        <v>58</v>
      </c>
      <c r="I959" s="1">
        <v>0</v>
      </c>
      <c r="J959" s="3" t="s">
        <v>447</v>
      </c>
      <c r="K959" s="2" t="str">
        <f>J959*153.00</f>
        <v>0</v>
      </c>
      <c r="L959" s="5"/>
    </row>
    <row r="960" spans="1:12" customHeight="1" ht="105" outlineLevel="4">
      <c r="A960" s="1"/>
      <c r="B960" s="1">
        <v>903274</v>
      </c>
      <c r="C960" s="1" t="s">
        <v>2962</v>
      </c>
      <c r="D960" s="1" t="s">
        <v>2963</v>
      </c>
      <c r="E960" s="2" t="s">
        <v>2964</v>
      </c>
      <c r="F960" s="2" t="s">
        <v>2965</v>
      </c>
      <c r="G960" s="2">
        <v>4</v>
      </c>
      <c r="H960" s="2">
        <v>2</v>
      </c>
      <c r="I960" s="1">
        <v>0</v>
      </c>
      <c r="J960" s="3" t="s">
        <v>447</v>
      </c>
      <c r="K960" s="2" t="str">
        <f>J960*259.00</f>
        <v>0</v>
      </c>
      <c r="L960" s="5"/>
    </row>
    <row r="961" spans="1:12" customHeight="1" ht="105" outlineLevel="4">
      <c r="A961" s="1"/>
      <c r="B961" s="1">
        <v>818722</v>
      </c>
      <c r="C961" s="1" t="s">
        <v>2966</v>
      </c>
      <c r="D961" s="1" t="s">
        <v>2967</v>
      </c>
      <c r="E961" s="2" t="s">
        <v>2968</v>
      </c>
      <c r="F961" s="2" t="s">
        <v>2969</v>
      </c>
      <c r="G961" s="2" t="s">
        <v>152</v>
      </c>
      <c r="H961" s="2" t="s">
        <v>74</v>
      </c>
      <c r="I961" s="1">
        <v>0</v>
      </c>
      <c r="J961" s="3" t="s">
        <v>447</v>
      </c>
      <c r="K961" s="2" t="str">
        <f>J961*723.00</f>
        <v>0</v>
      </c>
      <c r="L961" s="5"/>
    </row>
    <row r="962" spans="1:12" customHeight="1" ht="105" outlineLevel="4">
      <c r="A962" s="1"/>
      <c r="B962" s="1">
        <v>818723</v>
      </c>
      <c r="C962" s="1" t="s">
        <v>2970</v>
      </c>
      <c r="D962" s="1" t="s">
        <v>2971</v>
      </c>
      <c r="E962" s="2" t="s">
        <v>2972</v>
      </c>
      <c r="F962" s="2" t="s">
        <v>2973</v>
      </c>
      <c r="G962" s="2" t="s">
        <v>152</v>
      </c>
      <c r="H962" s="2" t="s">
        <v>152</v>
      </c>
      <c r="I962" s="1">
        <v>0</v>
      </c>
      <c r="J962" s="3" t="s">
        <v>447</v>
      </c>
      <c r="K962" s="2" t="str">
        <f>J962*1192.00</f>
        <v>0</v>
      </c>
      <c r="L962" s="5"/>
    </row>
    <row r="963" spans="1:12" customHeight="1" ht="105" outlineLevel="4">
      <c r="A963" s="1"/>
      <c r="B963" s="1">
        <v>903275</v>
      </c>
      <c r="C963" s="1" t="s">
        <v>2974</v>
      </c>
      <c r="D963" s="1" t="s">
        <v>2975</v>
      </c>
      <c r="E963" s="2" t="s">
        <v>2976</v>
      </c>
      <c r="F963" s="2" t="s">
        <v>2977</v>
      </c>
      <c r="G963" s="2" t="s">
        <v>153</v>
      </c>
      <c r="H963" s="2" t="s">
        <v>58</v>
      </c>
      <c r="I963" s="1">
        <v>0</v>
      </c>
      <c r="J963" s="3" t="s">
        <v>447</v>
      </c>
      <c r="K963" s="2" t="str">
        <f>J963*1771.00</f>
        <v>0</v>
      </c>
      <c r="L963" s="5"/>
    </row>
    <row r="964" spans="1:12" customHeight="1" ht="105" outlineLevel="4">
      <c r="A964" s="1"/>
      <c r="B964" s="1">
        <v>903276</v>
      </c>
      <c r="C964" s="1" t="s">
        <v>2978</v>
      </c>
      <c r="D964" s="1" t="s">
        <v>2979</v>
      </c>
      <c r="E964" s="2" t="s">
        <v>2980</v>
      </c>
      <c r="F964" s="2" t="s">
        <v>2981</v>
      </c>
      <c r="G964" s="2">
        <v>4</v>
      </c>
      <c r="H964" s="2" t="s">
        <v>58</v>
      </c>
      <c r="I964" s="1">
        <v>0</v>
      </c>
      <c r="J964" s="3" t="s">
        <v>447</v>
      </c>
      <c r="K964" s="2" t="str">
        <f>J964*2362.00</f>
        <v>0</v>
      </c>
      <c r="L964" s="5"/>
    </row>
    <row r="965" spans="1:12" customHeight="1" ht="105" outlineLevel="4">
      <c r="A965" s="1"/>
      <c r="B965" s="1">
        <v>903277</v>
      </c>
      <c r="C965" s="1" t="s">
        <v>2982</v>
      </c>
      <c r="D965" s="1" t="s">
        <v>2983</v>
      </c>
      <c r="E965" s="2" t="s">
        <v>2984</v>
      </c>
      <c r="F965" s="2" t="s">
        <v>2985</v>
      </c>
      <c r="G965" s="2" t="s">
        <v>58</v>
      </c>
      <c r="H965" s="2" t="s">
        <v>222</v>
      </c>
      <c r="I965" s="1">
        <v>0</v>
      </c>
      <c r="J965" s="3" t="s">
        <v>447</v>
      </c>
      <c r="K965" s="2" t="str">
        <f>J965*311.00</f>
        <v>0</v>
      </c>
      <c r="L965" s="5"/>
    </row>
    <row r="966" spans="1:12" customHeight="1" ht="105" outlineLevel="4">
      <c r="A966" s="1"/>
      <c r="B966" s="1">
        <v>818727</v>
      </c>
      <c r="C966" s="1" t="s">
        <v>2986</v>
      </c>
      <c r="D966" s="1" t="s">
        <v>2987</v>
      </c>
      <c r="E966" s="2" t="s">
        <v>2988</v>
      </c>
      <c r="F966" s="2" t="s">
        <v>2989</v>
      </c>
      <c r="G966" s="2" t="s">
        <v>58</v>
      </c>
      <c r="H966" s="2" t="s">
        <v>180</v>
      </c>
      <c r="I966" s="1">
        <v>0</v>
      </c>
      <c r="J966" s="3" t="s">
        <v>447</v>
      </c>
      <c r="K966" s="2" t="str">
        <f>J966*516.00</f>
        <v>0</v>
      </c>
      <c r="L966" s="5"/>
    </row>
    <row r="967" spans="1:12" customHeight="1" ht="105" outlineLevel="4">
      <c r="A967" s="1"/>
      <c r="B967" s="1">
        <v>903278</v>
      </c>
      <c r="C967" s="1" t="s">
        <v>2990</v>
      </c>
      <c r="D967" s="1" t="s">
        <v>2991</v>
      </c>
      <c r="E967" s="2" t="s">
        <v>2992</v>
      </c>
      <c r="F967" s="2" t="s">
        <v>2993</v>
      </c>
      <c r="G967" s="2" t="s">
        <v>74</v>
      </c>
      <c r="H967" s="2" t="s">
        <v>180</v>
      </c>
      <c r="I967" s="1">
        <v>0</v>
      </c>
      <c r="J967" s="3" t="s">
        <v>447</v>
      </c>
      <c r="K967" s="2" t="str">
        <f>J967*776.00</f>
        <v>0</v>
      </c>
      <c r="L967" s="5"/>
    </row>
    <row r="968" spans="1:12" customHeight="1" ht="105" outlineLevel="4">
      <c r="A968" s="1"/>
      <c r="B968" s="1">
        <v>903279</v>
      </c>
      <c r="C968" s="1" t="s">
        <v>2994</v>
      </c>
      <c r="D968" s="1" t="s">
        <v>2995</v>
      </c>
      <c r="E968" s="2" t="s">
        <v>2996</v>
      </c>
      <c r="F968" s="2" t="s">
        <v>2997</v>
      </c>
      <c r="G968" s="2">
        <v>6</v>
      </c>
      <c r="H968" s="2" t="s">
        <v>58</v>
      </c>
      <c r="I968" s="1">
        <v>0</v>
      </c>
      <c r="J968" s="3" t="s">
        <v>447</v>
      </c>
      <c r="K968" s="2" t="str">
        <f>J968*860.00</f>
        <v>0</v>
      </c>
      <c r="L968" s="5"/>
    </row>
    <row r="969" spans="1:12" customHeight="1" ht="105" outlineLevel="4">
      <c r="A969" s="1"/>
      <c r="B969" s="1">
        <v>903280</v>
      </c>
      <c r="C969" s="1" t="s">
        <v>2998</v>
      </c>
      <c r="D969" s="1" t="s">
        <v>2999</v>
      </c>
      <c r="E969" s="2" t="s">
        <v>3000</v>
      </c>
      <c r="F969" s="2" t="s">
        <v>3001</v>
      </c>
      <c r="G969" s="2">
        <v>8</v>
      </c>
      <c r="H969" s="2" t="s">
        <v>58</v>
      </c>
      <c r="I969" s="1">
        <v>0</v>
      </c>
      <c r="J969" s="3" t="s">
        <v>447</v>
      </c>
      <c r="K969" s="2" t="str">
        <f>J969*2179.00</f>
        <v>0</v>
      </c>
      <c r="L969" s="5"/>
    </row>
    <row r="970" spans="1:12" customHeight="1" ht="105" outlineLevel="4">
      <c r="A970" s="1"/>
      <c r="B970" s="1">
        <v>903281</v>
      </c>
      <c r="C970" s="1" t="s">
        <v>3002</v>
      </c>
      <c r="D970" s="1" t="s">
        <v>3003</v>
      </c>
      <c r="E970" s="2" t="s">
        <v>3004</v>
      </c>
      <c r="F970" s="2" t="s">
        <v>3005</v>
      </c>
      <c r="G970" s="2">
        <v>0</v>
      </c>
      <c r="H970" s="2" t="s">
        <v>74</v>
      </c>
      <c r="I970" s="1">
        <v>0</v>
      </c>
      <c r="J970" s="3" t="s">
        <v>447</v>
      </c>
      <c r="K970" s="2" t="str">
        <f>J970*3666.00</f>
        <v>0</v>
      </c>
      <c r="L970" s="5"/>
    </row>
    <row r="971" spans="1:12" customHeight="1" ht="105" outlineLevel="4">
      <c r="A971" s="1"/>
      <c r="B971" s="1">
        <v>903282</v>
      </c>
      <c r="C971" s="1" t="s">
        <v>3006</v>
      </c>
      <c r="D971" s="1" t="s">
        <v>3007</v>
      </c>
      <c r="E971" s="2" t="s">
        <v>3008</v>
      </c>
      <c r="F971" s="2" t="s">
        <v>3009</v>
      </c>
      <c r="G971" s="2">
        <v>0</v>
      </c>
      <c r="H971" s="2">
        <v>0</v>
      </c>
      <c r="I971" s="1">
        <v>0</v>
      </c>
      <c r="J971" s="3" t="s">
        <v>447</v>
      </c>
      <c r="K971" s="2" t="str">
        <f>J971*477.00</f>
        <v>0</v>
      </c>
      <c r="L971" s="5"/>
    </row>
    <row r="972" spans="1:12" customHeight="1" ht="105" outlineLevel="4">
      <c r="A972" s="1"/>
      <c r="B972" s="1">
        <v>903283</v>
      </c>
      <c r="C972" s="1" t="s">
        <v>3010</v>
      </c>
      <c r="D972" s="1" t="s">
        <v>3011</v>
      </c>
      <c r="E972" s="2" t="s">
        <v>3012</v>
      </c>
      <c r="F972" s="2" t="s">
        <v>3013</v>
      </c>
      <c r="G972" s="2">
        <v>0</v>
      </c>
      <c r="H972" s="2" t="s">
        <v>58</v>
      </c>
      <c r="I972" s="1">
        <v>0</v>
      </c>
      <c r="J972" s="3" t="s">
        <v>447</v>
      </c>
      <c r="K972" s="2" t="str">
        <f>J972*775.00</f>
        <v>0</v>
      </c>
      <c r="L972" s="5"/>
    </row>
    <row r="973" spans="1:12" customHeight="1" ht="105" outlineLevel="4">
      <c r="A973" s="1"/>
      <c r="B973" s="1">
        <v>903284</v>
      </c>
      <c r="C973" s="1" t="s">
        <v>3014</v>
      </c>
      <c r="D973" s="1" t="s">
        <v>3015</v>
      </c>
      <c r="E973" s="2" t="s">
        <v>3016</v>
      </c>
      <c r="F973" s="2" t="s">
        <v>3017</v>
      </c>
      <c r="G973" s="2">
        <v>0</v>
      </c>
      <c r="H973" s="2" t="s">
        <v>58</v>
      </c>
      <c r="I973" s="1">
        <v>0</v>
      </c>
      <c r="J973" s="3" t="s">
        <v>447</v>
      </c>
      <c r="K973" s="2" t="str">
        <f>J973*1073.00</f>
        <v>0</v>
      </c>
      <c r="L973" s="5"/>
    </row>
    <row r="974" spans="1:12" customHeight="1" ht="105" outlineLevel="4">
      <c r="A974" s="1"/>
      <c r="B974" s="1">
        <v>903285</v>
      </c>
      <c r="C974" s="1" t="s">
        <v>3018</v>
      </c>
      <c r="D974" s="1" t="s">
        <v>3019</v>
      </c>
      <c r="E974" s="2" t="s">
        <v>3020</v>
      </c>
      <c r="F974" s="2" t="s">
        <v>3021</v>
      </c>
      <c r="G974" s="2">
        <v>0</v>
      </c>
      <c r="H974" s="2">
        <v>0</v>
      </c>
      <c r="I974" s="1">
        <v>0</v>
      </c>
      <c r="J974" s="3" t="s">
        <v>447</v>
      </c>
      <c r="K974" s="2" t="str">
        <f>J974*778.00</f>
        <v>0</v>
      </c>
      <c r="L974" s="5"/>
    </row>
    <row r="975" spans="1:12" customHeight="1" ht="105" outlineLevel="4">
      <c r="A975" s="1"/>
      <c r="B975" s="1">
        <v>903286</v>
      </c>
      <c r="C975" s="1" t="s">
        <v>3022</v>
      </c>
      <c r="D975" s="1" t="s">
        <v>3023</v>
      </c>
      <c r="E975" s="2" t="s">
        <v>3024</v>
      </c>
      <c r="F975" s="2" t="s">
        <v>3025</v>
      </c>
      <c r="G975" s="2">
        <v>0</v>
      </c>
      <c r="H975" s="2">
        <v>0</v>
      </c>
      <c r="I975" s="1">
        <v>0</v>
      </c>
      <c r="J975" s="3" t="s">
        <v>447</v>
      </c>
      <c r="K975" s="2" t="str">
        <f>J975*1173.00</f>
        <v>0</v>
      </c>
      <c r="L975" s="5"/>
    </row>
    <row r="976" spans="1:12" customHeight="1" ht="105" outlineLevel="4">
      <c r="A976" s="1"/>
      <c r="B976" s="1">
        <v>903287</v>
      </c>
      <c r="C976" s="1" t="s">
        <v>3026</v>
      </c>
      <c r="D976" s="1" t="s">
        <v>3027</v>
      </c>
      <c r="E976" s="2" t="s">
        <v>3028</v>
      </c>
      <c r="F976" s="2" t="s">
        <v>3029</v>
      </c>
      <c r="G976" s="2">
        <v>0</v>
      </c>
      <c r="H976" s="2" t="s">
        <v>74</v>
      </c>
      <c r="I976" s="1">
        <v>0</v>
      </c>
      <c r="J976" s="3" t="s">
        <v>447</v>
      </c>
      <c r="K976" s="2" t="str">
        <f>J976*1866.00</f>
        <v>0</v>
      </c>
      <c r="L976" s="5"/>
    </row>
    <row r="977" spans="1:12" customHeight="1" ht="105" outlineLevel="4">
      <c r="A977" s="1"/>
      <c r="B977" s="1">
        <v>818738</v>
      </c>
      <c r="C977" s="1" t="s">
        <v>3030</v>
      </c>
      <c r="D977" s="1" t="s">
        <v>3031</v>
      </c>
      <c r="E977" s="2" t="s">
        <v>3032</v>
      </c>
      <c r="F977" s="2" t="s">
        <v>2376</v>
      </c>
      <c r="G977" s="2" t="s">
        <v>222</v>
      </c>
      <c r="H977" s="2" t="s">
        <v>222</v>
      </c>
      <c r="I977" s="1">
        <v>0</v>
      </c>
      <c r="J977" s="3" t="s">
        <v>447</v>
      </c>
      <c r="K977" s="2" t="str">
        <f>J977*15.00</f>
        <v>0</v>
      </c>
      <c r="L977" s="5"/>
    </row>
    <row r="978" spans="1:12" customHeight="1" ht="105" outlineLevel="4">
      <c r="A978" s="1"/>
      <c r="B978" s="1">
        <v>818739</v>
      </c>
      <c r="C978" s="1" t="s">
        <v>3033</v>
      </c>
      <c r="D978" s="1" t="s">
        <v>3034</v>
      </c>
      <c r="E978" s="2" t="s">
        <v>3035</v>
      </c>
      <c r="F978" s="2" t="s">
        <v>3036</v>
      </c>
      <c r="G978" s="2" t="s">
        <v>180</v>
      </c>
      <c r="H978" s="2" t="s">
        <v>222</v>
      </c>
      <c r="I978" s="1">
        <v>0</v>
      </c>
      <c r="J978" s="3" t="s">
        <v>447</v>
      </c>
      <c r="K978" s="2" t="str">
        <f>J978*22.00</f>
        <v>0</v>
      </c>
      <c r="L978" s="5"/>
    </row>
    <row r="979" spans="1:12" customHeight="1" ht="105" outlineLevel="4">
      <c r="A979" s="1"/>
      <c r="B979" s="1">
        <v>818740</v>
      </c>
      <c r="C979" s="1" t="s">
        <v>3037</v>
      </c>
      <c r="D979" s="1" t="s">
        <v>3038</v>
      </c>
      <c r="E979" s="2" t="s">
        <v>3039</v>
      </c>
      <c r="F979" s="2" t="s">
        <v>3040</v>
      </c>
      <c r="G979" s="2" t="s">
        <v>136</v>
      </c>
      <c r="H979" s="2" t="s">
        <v>222</v>
      </c>
      <c r="I979" s="1">
        <v>0</v>
      </c>
      <c r="J979" s="3" t="s">
        <v>447</v>
      </c>
      <c r="K979" s="2" t="str">
        <f>J979*38.00</f>
        <v>0</v>
      </c>
      <c r="L979" s="5"/>
    </row>
    <row r="980" spans="1:12" customHeight="1" ht="105" outlineLevel="4">
      <c r="A980" s="1"/>
      <c r="B980" s="1">
        <v>903288</v>
      </c>
      <c r="C980" s="1" t="s">
        <v>3041</v>
      </c>
      <c r="D980" s="1" t="s">
        <v>3042</v>
      </c>
      <c r="E980" s="2" t="s">
        <v>3043</v>
      </c>
      <c r="F980" s="2" t="s">
        <v>3044</v>
      </c>
      <c r="G980" s="2" t="s">
        <v>74</v>
      </c>
      <c r="H980" s="2" t="s">
        <v>180</v>
      </c>
      <c r="I980" s="1">
        <v>0</v>
      </c>
      <c r="J980" s="3" t="s">
        <v>447</v>
      </c>
      <c r="K980" s="2" t="str">
        <f>J980*74.00</f>
        <v>0</v>
      </c>
      <c r="L980" s="5"/>
    </row>
    <row r="981" spans="1:12" customHeight="1" ht="105" outlineLevel="4">
      <c r="A981" s="1"/>
      <c r="B981" s="1">
        <v>903289</v>
      </c>
      <c r="C981" s="1" t="s">
        <v>3045</v>
      </c>
      <c r="D981" s="1" t="s">
        <v>3046</v>
      </c>
      <c r="E981" s="2" t="s">
        <v>3047</v>
      </c>
      <c r="F981" s="2" t="s">
        <v>3048</v>
      </c>
      <c r="G981" s="2" t="s">
        <v>74</v>
      </c>
      <c r="H981" s="2" t="s">
        <v>180</v>
      </c>
      <c r="I981" s="1">
        <v>0</v>
      </c>
      <c r="J981" s="3" t="s">
        <v>447</v>
      </c>
      <c r="K981" s="2" t="str">
        <f>J981*126.00</f>
        <v>0</v>
      </c>
      <c r="L981" s="5"/>
    </row>
    <row r="982" spans="1:12" customHeight="1" ht="105" outlineLevel="4">
      <c r="A982" s="1"/>
      <c r="B982" s="1">
        <v>903290</v>
      </c>
      <c r="C982" s="1" t="s">
        <v>3049</v>
      </c>
      <c r="D982" s="1" t="s">
        <v>3050</v>
      </c>
      <c r="E982" s="2" t="s">
        <v>3051</v>
      </c>
      <c r="F982" s="2" t="s">
        <v>3052</v>
      </c>
      <c r="G982" s="2">
        <v>0</v>
      </c>
      <c r="H982" s="2" t="s">
        <v>136</v>
      </c>
      <c r="I982" s="1">
        <v>0</v>
      </c>
      <c r="J982" s="3" t="s">
        <v>447</v>
      </c>
      <c r="K982" s="2" t="str">
        <f>J982*306.00</f>
        <v>0</v>
      </c>
      <c r="L982" s="5"/>
    </row>
    <row r="983" spans="1:12" customHeight="1" ht="105" outlineLevel="4">
      <c r="A983" s="1"/>
      <c r="B983" s="1">
        <v>903291</v>
      </c>
      <c r="C983" s="1" t="s">
        <v>3053</v>
      </c>
      <c r="D983" s="1" t="s">
        <v>3054</v>
      </c>
      <c r="E983" s="2" t="s">
        <v>3055</v>
      </c>
      <c r="F983" s="2" t="s">
        <v>2679</v>
      </c>
      <c r="G983" s="2">
        <v>0</v>
      </c>
      <c r="H983" s="2" t="s">
        <v>58</v>
      </c>
      <c r="I983" s="1">
        <v>0</v>
      </c>
      <c r="J983" s="3" t="s">
        <v>447</v>
      </c>
      <c r="K983" s="2" t="str">
        <f>J983*547.00</f>
        <v>0</v>
      </c>
      <c r="L983" s="5"/>
    </row>
    <row r="984" spans="1:12" customHeight="1" ht="105" outlineLevel="4">
      <c r="A984" s="1"/>
      <c r="B984" s="1">
        <v>903292</v>
      </c>
      <c r="C984" s="1" t="s">
        <v>3056</v>
      </c>
      <c r="D984" s="1" t="s">
        <v>3057</v>
      </c>
      <c r="E984" s="2" t="s">
        <v>3058</v>
      </c>
      <c r="F984" s="2" t="s">
        <v>3059</v>
      </c>
      <c r="G984" s="2">
        <v>0</v>
      </c>
      <c r="H984" s="2" t="s">
        <v>58</v>
      </c>
      <c r="I984" s="1">
        <v>0</v>
      </c>
      <c r="J984" s="3" t="s">
        <v>447</v>
      </c>
      <c r="K984" s="2" t="str">
        <f>J984*1114.00</f>
        <v>0</v>
      </c>
      <c r="L984" s="5"/>
    </row>
    <row r="985" spans="1:12" customHeight="1" ht="105" outlineLevel="4">
      <c r="A985" s="1"/>
      <c r="B985" s="1">
        <v>818746</v>
      </c>
      <c r="C985" s="1" t="s">
        <v>3060</v>
      </c>
      <c r="D985" s="1" t="s">
        <v>3061</v>
      </c>
      <c r="E985" s="2" t="s">
        <v>3062</v>
      </c>
      <c r="F985" s="2" t="s">
        <v>382</v>
      </c>
      <c r="G985" s="2">
        <v>0</v>
      </c>
      <c r="H985" s="2" t="s">
        <v>180</v>
      </c>
      <c r="I985" s="1">
        <v>0</v>
      </c>
      <c r="J985" s="3" t="s">
        <v>447</v>
      </c>
      <c r="K985" s="2" t="str">
        <f>J985*140.00</f>
        <v>0</v>
      </c>
      <c r="L985" s="5"/>
    </row>
    <row r="986" spans="1:12" customHeight="1" ht="105" outlineLevel="4">
      <c r="A986" s="1"/>
      <c r="B986" s="1">
        <v>903293</v>
      </c>
      <c r="C986" s="1" t="s">
        <v>3063</v>
      </c>
      <c r="D986" s="1" t="s">
        <v>3064</v>
      </c>
      <c r="E986" s="2" t="s">
        <v>3065</v>
      </c>
      <c r="F986" s="2" t="s">
        <v>3066</v>
      </c>
      <c r="G986" s="2" t="s">
        <v>58</v>
      </c>
      <c r="H986" s="2" t="s">
        <v>58</v>
      </c>
      <c r="I986" s="1">
        <v>0</v>
      </c>
      <c r="J986" s="3" t="s">
        <v>447</v>
      </c>
      <c r="K986" s="2" t="str">
        <f>J986*184.00</f>
        <v>0</v>
      </c>
      <c r="L986" s="5"/>
    </row>
    <row r="987" spans="1:12" customHeight="1" ht="105" outlineLevel="4">
      <c r="A987" s="1"/>
      <c r="B987" s="1">
        <v>903294</v>
      </c>
      <c r="C987" s="1" t="s">
        <v>3067</v>
      </c>
      <c r="D987" s="1" t="s">
        <v>3068</v>
      </c>
      <c r="E987" s="2" t="s">
        <v>3069</v>
      </c>
      <c r="F987" s="2" t="s">
        <v>3070</v>
      </c>
      <c r="G987" s="2" t="s">
        <v>58</v>
      </c>
      <c r="H987" s="2" t="s">
        <v>136</v>
      </c>
      <c r="I987" s="1">
        <v>0</v>
      </c>
      <c r="J987" s="3" t="s">
        <v>447</v>
      </c>
      <c r="K987" s="2" t="str">
        <f>J987*149.00</f>
        <v>0</v>
      </c>
      <c r="L987" s="5"/>
    </row>
    <row r="988" spans="1:12" customHeight="1" ht="105" outlineLevel="4">
      <c r="A988" s="1"/>
      <c r="B988" s="1">
        <v>818749</v>
      </c>
      <c r="C988" s="1" t="s">
        <v>3071</v>
      </c>
      <c r="D988" s="1" t="s">
        <v>3072</v>
      </c>
      <c r="E988" s="2" t="s">
        <v>3073</v>
      </c>
      <c r="F988" s="2" t="s">
        <v>2628</v>
      </c>
      <c r="G988" s="2" t="s">
        <v>152</v>
      </c>
      <c r="H988" s="2" t="s">
        <v>136</v>
      </c>
      <c r="I988" s="1">
        <v>0</v>
      </c>
      <c r="J988" s="3" t="s">
        <v>447</v>
      </c>
      <c r="K988" s="2" t="str">
        <f>J988*207.00</f>
        <v>0</v>
      </c>
      <c r="L988" s="5"/>
    </row>
    <row r="989" spans="1:12" customHeight="1" ht="105" outlineLevel="4">
      <c r="A989" s="1"/>
      <c r="B989" s="1">
        <v>903295</v>
      </c>
      <c r="C989" s="1" t="s">
        <v>3074</v>
      </c>
      <c r="D989" s="1" t="s">
        <v>3075</v>
      </c>
      <c r="E989" s="2" t="s">
        <v>3076</v>
      </c>
      <c r="F989" s="2" t="s">
        <v>3077</v>
      </c>
      <c r="G989" s="2" t="s">
        <v>153</v>
      </c>
      <c r="H989" s="2" t="s">
        <v>58</v>
      </c>
      <c r="I989" s="1">
        <v>0</v>
      </c>
      <c r="J989" s="3" t="s">
        <v>447</v>
      </c>
      <c r="K989" s="2" t="str">
        <f>J989*296.00</f>
        <v>0</v>
      </c>
      <c r="L989" s="5"/>
    </row>
    <row r="990" spans="1:12" customHeight="1" ht="105" outlineLevel="4">
      <c r="A990" s="1"/>
      <c r="B990" s="1">
        <v>903296</v>
      </c>
      <c r="C990" s="1" t="s">
        <v>3078</v>
      </c>
      <c r="D990" s="1" t="s">
        <v>3079</v>
      </c>
      <c r="E990" s="2" t="s">
        <v>3080</v>
      </c>
      <c r="F990" s="2" t="s">
        <v>3081</v>
      </c>
      <c r="G990" s="2" t="s">
        <v>74</v>
      </c>
      <c r="H990" s="2" t="s">
        <v>58</v>
      </c>
      <c r="I990" s="1">
        <v>0</v>
      </c>
      <c r="J990" s="3" t="s">
        <v>447</v>
      </c>
      <c r="K990" s="2" t="str">
        <f>J990*363.00</f>
        <v>0</v>
      </c>
      <c r="L990" s="5"/>
    </row>
    <row r="991" spans="1:12" customHeight="1" ht="105" outlineLevel="4">
      <c r="A991" s="1"/>
      <c r="B991" s="1">
        <v>903297</v>
      </c>
      <c r="C991" s="1" t="s">
        <v>3082</v>
      </c>
      <c r="D991" s="1" t="s">
        <v>3083</v>
      </c>
      <c r="E991" s="2" t="s">
        <v>3084</v>
      </c>
      <c r="F991" s="2" t="s">
        <v>2730</v>
      </c>
      <c r="G991" s="2" t="s">
        <v>152</v>
      </c>
      <c r="H991" s="2" t="s">
        <v>180</v>
      </c>
      <c r="I991" s="1">
        <v>0</v>
      </c>
      <c r="J991" s="3" t="s">
        <v>447</v>
      </c>
      <c r="K991" s="2" t="str">
        <f>J991*178.00</f>
        <v>0</v>
      </c>
      <c r="L991" s="5"/>
    </row>
    <row r="992" spans="1:12" customHeight="1" ht="105" outlineLevel="4">
      <c r="A992" s="1"/>
      <c r="B992" s="1">
        <v>903298</v>
      </c>
      <c r="C992" s="1" t="s">
        <v>3085</v>
      </c>
      <c r="D992" s="1" t="s">
        <v>3086</v>
      </c>
      <c r="E992" s="2" t="s">
        <v>3087</v>
      </c>
      <c r="F992" s="2" t="s">
        <v>3088</v>
      </c>
      <c r="G992" s="2" t="s">
        <v>58</v>
      </c>
      <c r="H992" s="2" t="s">
        <v>136</v>
      </c>
      <c r="I992" s="1">
        <v>0</v>
      </c>
      <c r="J992" s="3" t="s">
        <v>447</v>
      </c>
      <c r="K992" s="2" t="str">
        <f>J992*251.00</f>
        <v>0</v>
      </c>
      <c r="L992" s="5"/>
    </row>
    <row r="993" spans="1:12" customHeight="1" ht="105" outlineLevel="4">
      <c r="A993" s="1"/>
      <c r="B993" s="1">
        <v>903299</v>
      </c>
      <c r="C993" s="1" t="s">
        <v>3089</v>
      </c>
      <c r="D993" s="1" t="s">
        <v>3090</v>
      </c>
      <c r="E993" s="2" t="s">
        <v>3091</v>
      </c>
      <c r="F993" s="2" t="s">
        <v>3092</v>
      </c>
      <c r="G993" s="2" t="s">
        <v>153</v>
      </c>
      <c r="H993" s="2" t="s">
        <v>180</v>
      </c>
      <c r="I993" s="1">
        <v>0</v>
      </c>
      <c r="J993" s="3" t="s">
        <v>447</v>
      </c>
      <c r="K993" s="2" t="str">
        <f>J993*205.00</f>
        <v>0</v>
      </c>
      <c r="L993" s="5"/>
    </row>
    <row r="994" spans="1:12" customHeight="1" ht="105" outlineLevel="4">
      <c r="A994" s="1"/>
      <c r="B994" s="1">
        <v>903300</v>
      </c>
      <c r="C994" s="1" t="s">
        <v>3093</v>
      </c>
      <c r="D994" s="1" t="s">
        <v>3094</v>
      </c>
      <c r="E994" s="2" t="s">
        <v>3095</v>
      </c>
      <c r="F994" s="2" t="s">
        <v>2339</v>
      </c>
      <c r="G994" s="2" t="s">
        <v>153</v>
      </c>
      <c r="H994" s="2" t="s">
        <v>136</v>
      </c>
      <c r="I994" s="1">
        <v>0</v>
      </c>
      <c r="J994" s="3" t="s">
        <v>447</v>
      </c>
      <c r="K994" s="2" t="str">
        <f>J994*262.00</f>
        <v>0</v>
      </c>
      <c r="L994" s="5"/>
    </row>
    <row r="995" spans="1:12" customHeight="1" ht="105" outlineLevel="4">
      <c r="A995" s="1"/>
      <c r="B995" s="1">
        <v>903301</v>
      </c>
      <c r="C995" s="1" t="s">
        <v>3096</v>
      </c>
      <c r="D995" s="1" t="s">
        <v>3097</v>
      </c>
      <c r="E995" s="2" t="s">
        <v>3098</v>
      </c>
      <c r="F995" s="2" t="s">
        <v>3099</v>
      </c>
      <c r="G995" s="2" t="s">
        <v>152</v>
      </c>
      <c r="H995" s="2" t="s">
        <v>74</v>
      </c>
      <c r="I995" s="1">
        <v>0</v>
      </c>
      <c r="J995" s="3" t="s">
        <v>447</v>
      </c>
      <c r="K995" s="2" t="str">
        <f>J995*351.00</f>
        <v>0</v>
      </c>
      <c r="L995" s="5"/>
    </row>
    <row r="996" spans="1:12" customHeight="1" ht="105" outlineLevel="4">
      <c r="A996" s="1"/>
      <c r="B996" s="1">
        <v>903302</v>
      </c>
      <c r="C996" s="1" t="s">
        <v>3100</v>
      </c>
      <c r="D996" s="1" t="s">
        <v>3101</v>
      </c>
      <c r="E996" s="2" t="s">
        <v>3102</v>
      </c>
      <c r="F996" s="2" t="s">
        <v>3103</v>
      </c>
      <c r="G996" s="2" t="s">
        <v>74</v>
      </c>
      <c r="H996" s="2" t="s">
        <v>58</v>
      </c>
      <c r="I996" s="1">
        <v>0</v>
      </c>
      <c r="J996" s="3" t="s">
        <v>447</v>
      </c>
      <c r="K996" s="2" t="str">
        <f>J996*441.00</f>
        <v>0</v>
      </c>
      <c r="L996" s="5"/>
    </row>
    <row r="997" spans="1:12" customHeight="1" ht="105" outlineLevel="4">
      <c r="A997" s="1"/>
      <c r="B997" s="1">
        <v>818758</v>
      </c>
      <c r="C997" s="1" t="s">
        <v>3104</v>
      </c>
      <c r="D997" s="1" t="s">
        <v>3105</v>
      </c>
      <c r="E997" s="2" t="s">
        <v>3106</v>
      </c>
      <c r="F997" s="2" t="s">
        <v>2794</v>
      </c>
      <c r="G997" s="2" t="s">
        <v>58</v>
      </c>
      <c r="H997" s="2" t="s">
        <v>222</v>
      </c>
      <c r="I997" s="1">
        <v>0</v>
      </c>
      <c r="J997" s="3" t="s">
        <v>447</v>
      </c>
      <c r="K997" s="2" t="str">
        <f>J997*157.00</f>
        <v>0</v>
      </c>
      <c r="L997" s="5"/>
    </row>
    <row r="998" spans="1:12" customHeight="1" ht="105" outlineLevel="4">
      <c r="A998" s="1"/>
      <c r="B998" s="1">
        <v>818759</v>
      </c>
      <c r="C998" s="1" t="s">
        <v>3107</v>
      </c>
      <c r="D998" s="1" t="s">
        <v>3108</v>
      </c>
      <c r="E998" s="2" t="s">
        <v>3109</v>
      </c>
      <c r="F998" s="2" t="s">
        <v>3110</v>
      </c>
      <c r="G998" s="2" t="s">
        <v>152</v>
      </c>
      <c r="H998" s="2" t="s">
        <v>136</v>
      </c>
      <c r="I998" s="1">
        <v>0</v>
      </c>
      <c r="J998" s="3" t="s">
        <v>447</v>
      </c>
      <c r="K998" s="2" t="str">
        <f>J998*190.00</f>
        <v>0</v>
      </c>
      <c r="L998" s="5"/>
    </row>
    <row r="999" spans="1:12" customHeight="1" ht="105" outlineLevel="4">
      <c r="A999" s="1"/>
      <c r="B999" s="1">
        <v>818760</v>
      </c>
      <c r="C999" s="1" t="s">
        <v>3111</v>
      </c>
      <c r="D999" s="1" t="s">
        <v>3112</v>
      </c>
      <c r="E999" s="2" t="s">
        <v>3113</v>
      </c>
      <c r="F999" s="2" t="s">
        <v>2544</v>
      </c>
      <c r="G999" s="2" t="s">
        <v>152</v>
      </c>
      <c r="H999" s="2" t="s">
        <v>180</v>
      </c>
      <c r="I999" s="1">
        <v>0</v>
      </c>
      <c r="J999" s="3" t="s">
        <v>447</v>
      </c>
      <c r="K999" s="2" t="str">
        <f>J999*199.00</f>
        <v>0</v>
      </c>
      <c r="L999" s="5"/>
    </row>
    <row r="1000" spans="1:12" customHeight="1" ht="105" outlineLevel="4">
      <c r="A1000" s="1"/>
      <c r="B1000" s="1">
        <v>818761</v>
      </c>
      <c r="C1000" s="1" t="s">
        <v>3114</v>
      </c>
      <c r="D1000" s="1" t="s">
        <v>3115</v>
      </c>
      <c r="E1000" s="2" t="s">
        <v>3116</v>
      </c>
      <c r="F1000" s="2" t="s">
        <v>3117</v>
      </c>
      <c r="G1000" s="2" t="s">
        <v>153</v>
      </c>
      <c r="H1000" s="2" t="s">
        <v>74</v>
      </c>
      <c r="I1000" s="1">
        <v>0</v>
      </c>
      <c r="J1000" s="3" t="s">
        <v>447</v>
      </c>
      <c r="K1000" s="2" t="str">
        <f>J1000*242.00</f>
        <v>0</v>
      </c>
      <c r="L1000" s="5"/>
    </row>
    <row r="1001" spans="1:12" customHeight="1" ht="105" outlineLevel="4">
      <c r="A1001" s="1"/>
      <c r="B1001" s="1">
        <v>903303</v>
      </c>
      <c r="C1001" s="1" t="s">
        <v>3118</v>
      </c>
      <c r="D1001" s="1" t="s">
        <v>3119</v>
      </c>
      <c r="E1001" s="2" t="s">
        <v>3120</v>
      </c>
      <c r="F1001" s="2" t="s">
        <v>2798</v>
      </c>
      <c r="G1001" s="2" t="s">
        <v>152</v>
      </c>
      <c r="H1001" s="2" t="s">
        <v>136</v>
      </c>
      <c r="I1001" s="1">
        <v>0</v>
      </c>
      <c r="J1001" s="3" t="s">
        <v>447</v>
      </c>
      <c r="K1001" s="2" t="str">
        <f>J1001*194.00</f>
        <v>0</v>
      </c>
      <c r="L1001" s="5"/>
    </row>
    <row r="1002" spans="1:12" customHeight="1" ht="105" outlineLevel="4">
      <c r="A1002" s="1"/>
      <c r="B1002" s="1">
        <v>903304</v>
      </c>
      <c r="C1002" s="1" t="s">
        <v>3121</v>
      </c>
      <c r="D1002" s="1" t="s">
        <v>3122</v>
      </c>
      <c r="E1002" s="2" t="s">
        <v>3123</v>
      </c>
      <c r="F1002" s="2" t="s">
        <v>3124</v>
      </c>
      <c r="G1002" s="2">
        <v>9</v>
      </c>
      <c r="H1002" s="2" t="s">
        <v>58</v>
      </c>
      <c r="I1002" s="1">
        <v>0</v>
      </c>
      <c r="J1002" s="3" t="s">
        <v>447</v>
      </c>
      <c r="K1002" s="2" t="str">
        <f>J1002*265.00</f>
        <v>0</v>
      </c>
      <c r="L1002" s="5"/>
    </row>
    <row r="1003" spans="1:12" customHeight="1" ht="105" outlineLevel="4">
      <c r="A1003" s="1"/>
      <c r="B1003" s="1">
        <v>818764</v>
      </c>
      <c r="C1003" s="1" t="s">
        <v>3125</v>
      </c>
      <c r="D1003" s="1" t="s">
        <v>3126</v>
      </c>
      <c r="E1003" s="2" t="s">
        <v>3127</v>
      </c>
      <c r="F1003" s="2" t="s">
        <v>3128</v>
      </c>
      <c r="G1003" s="2" t="s">
        <v>153</v>
      </c>
      <c r="H1003" s="2" t="s">
        <v>136</v>
      </c>
      <c r="I1003" s="1">
        <v>0</v>
      </c>
      <c r="J1003" s="3" t="s">
        <v>447</v>
      </c>
      <c r="K1003" s="2" t="str">
        <f>J1003*255.00</f>
        <v>0</v>
      </c>
      <c r="L1003" s="5"/>
    </row>
    <row r="1004" spans="1:12" customHeight="1" ht="105" outlineLevel="4">
      <c r="A1004" s="1"/>
      <c r="B1004" s="1">
        <v>903305</v>
      </c>
      <c r="C1004" s="1" t="s">
        <v>3129</v>
      </c>
      <c r="D1004" s="1" t="s">
        <v>3130</v>
      </c>
      <c r="E1004" s="2" t="s">
        <v>3131</v>
      </c>
      <c r="F1004" s="2" t="s">
        <v>3132</v>
      </c>
      <c r="G1004" s="2" t="s">
        <v>153</v>
      </c>
      <c r="H1004" s="2" t="s">
        <v>58</v>
      </c>
      <c r="I1004" s="1">
        <v>0</v>
      </c>
      <c r="J1004" s="3" t="s">
        <v>447</v>
      </c>
      <c r="K1004" s="2" t="str">
        <f>J1004*448.00</f>
        <v>0</v>
      </c>
      <c r="L1004" s="5"/>
    </row>
    <row r="1005" spans="1:12" customHeight="1" ht="105" outlineLevel="4">
      <c r="A1005" s="1"/>
      <c r="B1005" s="1">
        <v>903306</v>
      </c>
      <c r="C1005" s="1" t="s">
        <v>3133</v>
      </c>
      <c r="D1005" s="1" t="s">
        <v>3134</v>
      </c>
      <c r="E1005" s="2" t="s">
        <v>3135</v>
      </c>
      <c r="F1005" s="2" t="s">
        <v>2376</v>
      </c>
      <c r="G1005" s="2" t="s">
        <v>180</v>
      </c>
      <c r="H1005" s="2" t="s">
        <v>222</v>
      </c>
      <c r="I1005" s="1">
        <v>0</v>
      </c>
      <c r="J1005" s="3" t="s">
        <v>447</v>
      </c>
      <c r="K1005" s="2" t="str">
        <f>J1005*15.00</f>
        <v>0</v>
      </c>
      <c r="L1005" s="5"/>
    </row>
    <row r="1006" spans="1:12" customHeight="1" ht="105" outlineLevel="4">
      <c r="A1006" s="1"/>
      <c r="B1006" s="1">
        <v>818767</v>
      </c>
      <c r="C1006" s="1" t="s">
        <v>3136</v>
      </c>
      <c r="D1006" s="1" t="s">
        <v>3137</v>
      </c>
      <c r="E1006" s="2" t="s">
        <v>3138</v>
      </c>
      <c r="F1006" s="2" t="s">
        <v>1719</v>
      </c>
      <c r="G1006" s="2" t="s">
        <v>136</v>
      </c>
      <c r="H1006" s="2" t="s">
        <v>222</v>
      </c>
      <c r="I1006" s="1">
        <v>0</v>
      </c>
      <c r="J1006" s="3" t="s">
        <v>447</v>
      </c>
      <c r="K1006" s="2" t="str">
        <f>J1006*21.00</f>
        <v>0</v>
      </c>
      <c r="L1006" s="5"/>
    </row>
    <row r="1007" spans="1:12" customHeight="1" ht="105" outlineLevel="4">
      <c r="A1007" s="1"/>
      <c r="B1007" s="1">
        <v>903307</v>
      </c>
      <c r="C1007" s="1" t="s">
        <v>3139</v>
      </c>
      <c r="D1007" s="1" t="s">
        <v>3140</v>
      </c>
      <c r="E1007" s="2" t="s">
        <v>3141</v>
      </c>
      <c r="F1007" s="2" t="s">
        <v>3142</v>
      </c>
      <c r="G1007" s="2" t="s">
        <v>58</v>
      </c>
      <c r="H1007" s="2" t="s">
        <v>222</v>
      </c>
      <c r="I1007" s="1">
        <v>0</v>
      </c>
      <c r="J1007" s="3" t="s">
        <v>447</v>
      </c>
      <c r="K1007" s="2" t="str">
        <f>J1007*34.00</f>
        <v>0</v>
      </c>
      <c r="L1007" s="5"/>
    </row>
    <row r="1008" spans="1:12" customHeight="1" ht="105" outlineLevel="4">
      <c r="A1008" s="1"/>
      <c r="B1008" s="1">
        <v>903308</v>
      </c>
      <c r="C1008" s="1" t="s">
        <v>3143</v>
      </c>
      <c r="D1008" s="1" t="s">
        <v>3144</v>
      </c>
      <c r="E1008" s="2" t="s">
        <v>3145</v>
      </c>
      <c r="F1008" s="2" t="s">
        <v>3044</v>
      </c>
      <c r="G1008" s="2" t="s">
        <v>152</v>
      </c>
      <c r="H1008" s="2" t="s">
        <v>180</v>
      </c>
      <c r="I1008" s="1">
        <v>0</v>
      </c>
      <c r="J1008" s="3" t="s">
        <v>447</v>
      </c>
      <c r="K1008" s="2" t="str">
        <f>J1008*74.00</f>
        <v>0</v>
      </c>
      <c r="L1008" s="5"/>
    </row>
    <row r="1009" spans="1:12" customHeight="1" ht="105" outlineLevel="4">
      <c r="A1009" s="1"/>
      <c r="B1009" s="1">
        <v>903309</v>
      </c>
      <c r="C1009" s="1" t="s">
        <v>3146</v>
      </c>
      <c r="D1009" s="1" t="s">
        <v>3147</v>
      </c>
      <c r="E1009" s="2" t="s">
        <v>3148</v>
      </c>
      <c r="F1009" s="2" t="s">
        <v>3149</v>
      </c>
      <c r="G1009" s="2" t="s">
        <v>153</v>
      </c>
      <c r="H1009" s="2" t="s">
        <v>136</v>
      </c>
      <c r="I1009" s="1">
        <v>0</v>
      </c>
      <c r="J1009" s="3" t="s">
        <v>447</v>
      </c>
      <c r="K1009" s="2" t="str">
        <f>J1009*138.00</f>
        <v>0</v>
      </c>
      <c r="L1009" s="5"/>
    </row>
    <row r="1010" spans="1:12" customHeight="1" ht="105" outlineLevel="4">
      <c r="A1010" s="1"/>
      <c r="B1010" s="1">
        <v>903310</v>
      </c>
      <c r="C1010" s="1" t="s">
        <v>3150</v>
      </c>
      <c r="D1010" s="1" t="s">
        <v>3151</v>
      </c>
      <c r="E1010" s="2" t="s">
        <v>3152</v>
      </c>
      <c r="F1010" s="2" t="s">
        <v>3153</v>
      </c>
      <c r="G1010" s="2">
        <v>0</v>
      </c>
      <c r="H1010" s="2">
        <v>0</v>
      </c>
      <c r="I1010" s="1">
        <v>0</v>
      </c>
      <c r="J1010" s="3" t="s">
        <v>447</v>
      </c>
      <c r="K1010" s="2" t="str">
        <f>J1010*250.00</f>
        <v>0</v>
      </c>
      <c r="L1010" s="5"/>
    </row>
    <row r="1011" spans="1:12" customHeight="1" ht="105" outlineLevel="4">
      <c r="A1011" s="1"/>
      <c r="B1011" s="1">
        <v>818772</v>
      </c>
      <c r="C1011" s="1" t="s">
        <v>3154</v>
      </c>
      <c r="D1011" s="1" t="s">
        <v>3155</v>
      </c>
      <c r="E1011" s="2" t="s">
        <v>3156</v>
      </c>
      <c r="F1011" s="2" t="s">
        <v>3157</v>
      </c>
      <c r="G1011" s="2" t="s">
        <v>58</v>
      </c>
      <c r="H1011" s="2" t="s">
        <v>180</v>
      </c>
      <c r="I1011" s="1">
        <v>0</v>
      </c>
      <c r="J1011" s="3" t="s">
        <v>447</v>
      </c>
      <c r="K1011" s="2" t="str">
        <f>J1011*279.00</f>
        <v>0</v>
      </c>
      <c r="L1011" s="5"/>
    </row>
    <row r="1012" spans="1:12" customHeight="1" ht="105" outlineLevel="4">
      <c r="A1012" s="1"/>
      <c r="B1012" s="1">
        <v>903311</v>
      </c>
      <c r="C1012" s="1" t="s">
        <v>3158</v>
      </c>
      <c r="D1012" s="1" t="s">
        <v>3159</v>
      </c>
      <c r="E1012" s="2" t="s">
        <v>3160</v>
      </c>
      <c r="F1012" s="2" t="s">
        <v>3161</v>
      </c>
      <c r="G1012" s="2" t="s">
        <v>152</v>
      </c>
      <c r="H1012" s="2" t="s">
        <v>58</v>
      </c>
      <c r="I1012" s="1">
        <v>0</v>
      </c>
      <c r="J1012" s="3" t="s">
        <v>447</v>
      </c>
      <c r="K1012" s="2" t="str">
        <f>J1012*348.00</f>
        <v>0</v>
      </c>
      <c r="L1012" s="5"/>
    </row>
    <row r="1013" spans="1:12" customHeight="1" ht="105" outlineLevel="4">
      <c r="A1013" s="1"/>
      <c r="B1013" s="1">
        <v>903312</v>
      </c>
      <c r="C1013" s="1" t="s">
        <v>3162</v>
      </c>
      <c r="D1013" s="1" t="s">
        <v>3163</v>
      </c>
      <c r="E1013" s="2" t="s">
        <v>3164</v>
      </c>
      <c r="F1013" s="2" t="s">
        <v>258</v>
      </c>
      <c r="G1013" s="2" t="s">
        <v>74</v>
      </c>
      <c r="H1013" s="2" t="s">
        <v>58</v>
      </c>
      <c r="I1013" s="1">
        <v>0</v>
      </c>
      <c r="J1013" s="3" t="s">
        <v>447</v>
      </c>
      <c r="K1013" s="2" t="str">
        <f>J1013*419.00</f>
        <v>0</v>
      </c>
      <c r="L1013" s="5"/>
    </row>
    <row r="1014" spans="1:12" customHeight="1" ht="105" outlineLevel="4">
      <c r="A1014" s="1"/>
      <c r="B1014" s="1">
        <v>903313</v>
      </c>
      <c r="C1014" s="1" t="s">
        <v>3165</v>
      </c>
      <c r="D1014" s="1" t="s">
        <v>3166</v>
      </c>
      <c r="E1014" s="2" t="s">
        <v>3167</v>
      </c>
      <c r="F1014" s="2" t="s">
        <v>326</v>
      </c>
      <c r="G1014" s="2" t="s">
        <v>58</v>
      </c>
      <c r="H1014" s="2" t="s">
        <v>180</v>
      </c>
      <c r="I1014" s="1">
        <v>0</v>
      </c>
      <c r="J1014" s="3" t="s">
        <v>447</v>
      </c>
      <c r="K1014" s="2" t="str">
        <f>J1014*522.00</f>
        <v>0</v>
      </c>
      <c r="L1014" s="5"/>
    </row>
    <row r="1015" spans="1:12" customHeight="1" ht="105" outlineLevel="4">
      <c r="A1015" s="1"/>
      <c r="B1015" s="1">
        <v>903314</v>
      </c>
      <c r="C1015" s="1" t="s">
        <v>3168</v>
      </c>
      <c r="D1015" s="1" t="s">
        <v>3169</v>
      </c>
      <c r="E1015" s="2" t="s">
        <v>3170</v>
      </c>
      <c r="F1015" s="2" t="s">
        <v>3171</v>
      </c>
      <c r="G1015" s="2" t="s">
        <v>152</v>
      </c>
      <c r="H1015" s="2" t="s">
        <v>136</v>
      </c>
      <c r="I1015" s="1">
        <v>0</v>
      </c>
      <c r="J1015" s="3" t="s">
        <v>447</v>
      </c>
      <c r="K1015" s="2" t="str">
        <f>J1015*566.00</f>
        <v>0</v>
      </c>
      <c r="L1015" s="5"/>
    </row>
    <row r="1016" spans="1:12" customHeight="1" ht="105" outlineLevel="4">
      <c r="A1016" s="1"/>
      <c r="B1016" s="1">
        <v>903315</v>
      </c>
      <c r="C1016" s="1" t="s">
        <v>3172</v>
      </c>
      <c r="D1016" s="1" t="s">
        <v>3173</v>
      </c>
      <c r="E1016" s="2" t="s">
        <v>3174</v>
      </c>
      <c r="F1016" s="2" t="s">
        <v>3175</v>
      </c>
      <c r="G1016" s="2" t="s">
        <v>74</v>
      </c>
      <c r="H1016" s="2" t="s">
        <v>180</v>
      </c>
      <c r="I1016" s="1">
        <v>0</v>
      </c>
      <c r="J1016" s="3" t="s">
        <v>447</v>
      </c>
      <c r="K1016" s="2" t="str">
        <f>J1016*705.00</f>
        <v>0</v>
      </c>
      <c r="L1016" s="5"/>
    </row>
    <row r="1017" spans="1:12" customHeight="1" ht="105" outlineLevel="4">
      <c r="A1017" s="1"/>
      <c r="B1017" s="1">
        <v>903316</v>
      </c>
      <c r="C1017" s="1" t="s">
        <v>3176</v>
      </c>
      <c r="D1017" s="1" t="s">
        <v>3177</v>
      </c>
      <c r="E1017" s="2" t="s">
        <v>3178</v>
      </c>
      <c r="F1017" s="2" t="s">
        <v>3179</v>
      </c>
      <c r="G1017" s="2">
        <v>10</v>
      </c>
      <c r="H1017" s="2" t="s">
        <v>58</v>
      </c>
      <c r="I1017" s="1">
        <v>0</v>
      </c>
      <c r="J1017" s="3" t="s">
        <v>447</v>
      </c>
      <c r="K1017" s="2" t="str">
        <f>J1017*1196.00</f>
        <v>0</v>
      </c>
      <c r="L1017" s="5"/>
    </row>
    <row r="1018" spans="1:12" customHeight="1" ht="105" outlineLevel="4">
      <c r="A1018" s="1"/>
      <c r="B1018" s="1">
        <v>903317</v>
      </c>
      <c r="C1018" s="1" t="s">
        <v>3180</v>
      </c>
      <c r="D1018" s="1" t="s">
        <v>3181</v>
      </c>
      <c r="E1018" s="2" t="s">
        <v>3182</v>
      </c>
      <c r="F1018" s="2" t="s">
        <v>3183</v>
      </c>
      <c r="G1018" s="2" t="s">
        <v>153</v>
      </c>
      <c r="H1018" s="2" t="s">
        <v>58</v>
      </c>
      <c r="I1018" s="1">
        <v>0</v>
      </c>
      <c r="J1018" s="3" t="s">
        <v>447</v>
      </c>
      <c r="K1018" s="2" t="str">
        <f>J1018*2012.00</f>
        <v>0</v>
      </c>
      <c r="L1018" s="5"/>
    </row>
    <row r="1019" spans="1:12" customHeight="1" ht="105" outlineLevel="4">
      <c r="A1019" s="1"/>
      <c r="B1019" s="1">
        <v>903318</v>
      </c>
      <c r="C1019" s="1" t="s">
        <v>3184</v>
      </c>
      <c r="D1019" s="1" t="s">
        <v>3185</v>
      </c>
      <c r="E1019" s="2" t="s">
        <v>3186</v>
      </c>
      <c r="F1019" s="2" t="s">
        <v>3187</v>
      </c>
      <c r="G1019" s="2">
        <v>0</v>
      </c>
      <c r="H1019" s="2" t="s">
        <v>74</v>
      </c>
      <c r="I1019" s="1">
        <v>0</v>
      </c>
      <c r="J1019" s="3" t="s">
        <v>447</v>
      </c>
      <c r="K1019" s="2" t="str">
        <f>J1019*5280.00</f>
        <v>0</v>
      </c>
      <c r="L1019" s="5"/>
    </row>
    <row r="1020" spans="1:12" customHeight="1" ht="105" outlineLevel="4">
      <c r="A1020" s="1"/>
      <c r="B1020" s="1">
        <v>818781</v>
      </c>
      <c r="C1020" s="1" t="s">
        <v>3188</v>
      </c>
      <c r="D1020" s="1" t="s">
        <v>3189</v>
      </c>
      <c r="E1020" s="2" t="s">
        <v>3190</v>
      </c>
      <c r="F1020" s="2" t="s">
        <v>3191</v>
      </c>
      <c r="G1020" s="2" t="s">
        <v>74</v>
      </c>
      <c r="H1020" s="2">
        <v>0</v>
      </c>
      <c r="I1020" s="1">
        <v>0</v>
      </c>
      <c r="J1020" s="3" t="s">
        <v>447</v>
      </c>
      <c r="K1020" s="2" t="str">
        <f>J1020*290.00</f>
        <v>0</v>
      </c>
      <c r="L1020" s="5"/>
    </row>
    <row r="1021" spans="1:12" customHeight="1" ht="105" outlineLevel="4">
      <c r="A1021" s="1"/>
      <c r="B1021" s="1">
        <v>903319</v>
      </c>
      <c r="C1021" s="1" t="s">
        <v>3192</v>
      </c>
      <c r="D1021" s="1" t="s">
        <v>3193</v>
      </c>
      <c r="E1021" s="2" t="s">
        <v>3194</v>
      </c>
      <c r="F1021" s="2" t="s">
        <v>3195</v>
      </c>
      <c r="G1021" s="2" t="s">
        <v>152</v>
      </c>
      <c r="H1021" s="2" t="s">
        <v>136</v>
      </c>
      <c r="I1021" s="1">
        <v>0</v>
      </c>
      <c r="J1021" s="3" t="s">
        <v>447</v>
      </c>
      <c r="K1021" s="2" t="str">
        <f>J1021*374.00</f>
        <v>0</v>
      </c>
      <c r="L1021" s="5"/>
    </row>
    <row r="1022" spans="1:12" customHeight="1" ht="105" outlineLevel="4">
      <c r="A1022" s="1"/>
      <c r="B1022" s="1">
        <v>903320</v>
      </c>
      <c r="C1022" s="1" t="s">
        <v>3196</v>
      </c>
      <c r="D1022" s="1" t="s">
        <v>3197</v>
      </c>
      <c r="E1022" s="2" t="s">
        <v>3198</v>
      </c>
      <c r="F1022" s="2" t="s">
        <v>3199</v>
      </c>
      <c r="G1022" s="2" t="s">
        <v>152</v>
      </c>
      <c r="H1022" s="2" t="s">
        <v>136</v>
      </c>
      <c r="I1022" s="1">
        <v>0</v>
      </c>
      <c r="J1022" s="3" t="s">
        <v>447</v>
      </c>
      <c r="K1022" s="2" t="str">
        <f>J1022*412.00</f>
        <v>0</v>
      </c>
      <c r="L1022" s="5"/>
    </row>
    <row r="1023" spans="1:12" customHeight="1" ht="105" outlineLevel="4">
      <c r="A1023" s="1"/>
      <c r="B1023" s="1">
        <v>903321</v>
      </c>
      <c r="C1023" s="1" t="s">
        <v>3200</v>
      </c>
      <c r="D1023" s="1" t="s">
        <v>3201</v>
      </c>
      <c r="E1023" s="2" t="s">
        <v>3202</v>
      </c>
      <c r="F1023" s="2" t="s">
        <v>2845</v>
      </c>
      <c r="G1023" s="2" t="s">
        <v>74</v>
      </c>
      <c r="H1023" s="2" t="s">
        <v>180</v>
      </c>
      <c r="I1023" s="1">
        <v>0</v>
      </c>
      <c r="J1023" s="3" t="s">
        <v>447</v>
      </c>
      <c r="K1023" s="2" t="str">
        <f>J1023*454.00</f>
        <v>0</v>
      </c>
      <c r="L1023" s="5"/>
    </row>
    <row r="1024" spans="1:12" customHeight="1" ht="105" outlineLevel="4">
      <c r="A1024" s="1"/>
      <c r="B1024" s="1">
        <v>903322</v>
      </c>
      <c r="C1024" s="1" t="s">
        <v>3203</v>
      </c>
      <c r="D1024" s="1" t="s">
        <v>3204</v>
      </c>
      <c r="E1024" s="2" t="s">
        <v>3205</v>
      </c>
      <c r="F1024" s="2" t="s">
        <v>3206</v>
      </c>
      <c r="G1024" s="2" t="s">
        <v>74</v>
      </c>
      <c r="H1024" s="2" t="s">
        <v>180</v>
      </c>
      <c r="I1024" s="1">
        <v>0</v>
      </c>
      <c r="J1024" s="3" t="s">
        <v>447</v>
      </c>
      <c r="K1024" s="2" t="str">
        <f>J1024*455.00</f>
        <v>0</v>
      </c>
      <c r="L1024" s="5"/>
    </row>
    <row r="1025" spans="1:12" customHeight="1" ht="105" outlineLevel="4">
      <c r="A1025" s="1"/>
      <c r="B1025" s="1">
        <v>903323</v>
      </c>
      <c r="C1025" s="1" t="s">
        <v>3207</v>
      </c>
      <c r="D1025" s="1" t="s">
        <v>3208</v>
      </c>
      <c r="E1025" s="2" t="s">
        <v>3209</v>
      </c>
      <c r="F1025" s="2" t="s">
        <v>3210</v>
      </c>
      <c r="G1025" s="2" t="s">
        <v>74</v>
      </c>
      <c r="H1025" s="2" t="s">
        <v>180</v>
      </c>
      <c r="I1025" s="1">
        <v>0</v>
      </c>
      <c r="J1025" s="3" t="s">
        <v>447</v>
      </c>
      <c r="K1025" s="2" t="str">
        <f>J1025*580.00</f>
        <v>0</v>
      </c>
      <c r="L1025" s="5"/>
    </row>
    <row r="1026" spans="1:12" customHeight="1" ht="105" outlineLevel="4">
      <c r="A1026" s="1"/>
      <c r="B1026" s="1">
        <v>903324</v>
      </c>
      <c r="C1026" s="1" t="s">
        <v>3211</v>
      </c>
      <c r="D1026" s="1" t="s">
        <v>3212</v>
      </c>
      <c r="E1026" s="2" t="s">
        <v>3213</v>
      </c>
      <c r="F1026" s="2" t="s">
        <v>3214</v>
      </c>
      <c r="G1026" s="2">
        <v>8</v>
      </c>
      <c r="H1026" s="2" t="s">
        <v>58</v>
      </c>
      <c r="I1026" s="1">
        <v>0</v>
      </c>
      <c r="J1026" s="3" t="s">
        <v>447</v>
      </c>
      <c r="K1026" s="2" t="str">
        <f>J1026*962.00</f>
        <v>0</v>
      </c>
      <c r="L1026" s="5"/>
    </row>
    <row r="1027" spans="1:12" customHeight="1" ht="105" outlineLevel="4">
      <c r="A1027" s="1"/>
      <c r="B1027" s="1">
        <v>903325</v>
      </c>
      <c r="C1027" s="1" t="s">
        <v>3215</v>
      </c>
      <c r="D1027" s="1" t="s">
        <v>3216</v>
      </c>
      <c r="E1027" s="2" t="s">
        <v>3217</v>
      </c>
      <c r="F1027" s="2" t="s">
        <v>3218</v>
      </c>
      <c r="G1027" s="2">
        <v>1</v>
      </c>
      <c r="H1027" s="2">
        <v>0</v>
      </c>
      <c r="I1027" s="1">
        <v>0</v>
      </c>
      <c r="J1027" s="3" t="s">
        <v>447</v>
      </c>
      <c r="K1027" s="2" t="str">
        <f>J1027*1093.00</f>
        <v>0</v>
      </c>
      <c r="L1027" s="5"/>
    </row>
    <row r="1028" spans="1:12" customHeight="1" ht="105" outlineLevel="4">
      <c r="A1028" s="1"/>
      <c r="B1028" s="1">
        <v>903326</v>
      </c>
      <c r="C1028" s="1" t="s">
        <v>3219</v>
      </c>
      <c r="D1028" s="1" t="s">
        <v>3220</v>
      </c>
      <c r="E1028" s="2" t="s">
        <v>3221</v>
      </c>
      <c r="F1028" s="2" t="s">
        <v>3222</v>
      </c>
      <c r="G1028" s="2">
        <v>8</v>
      </c>
      <c r="H1028" s="2" t="s">
        <v>58</v>
      </c>
      <c r="I1028" s="1">
        <v>0</v>
      </c>
      <c r="J1028" s="3" t="s">
        <v>447</v>
      </c>
      <c r="K1028" s="2" t="str">
        <f>J1028*2103.00</f>
        <v>0</v>
      </c>
      <c r="L1028" s="5"/>
    </row>
    <row r="1029" spans="1:12" customHeight="1" ht="105" outlineLevel="4">
      <c r="A1029" s="1"/>
      <c r="B1029" s="1">
        <v>903327</v>
      </c>
      <c r="C1029" s="1" t="s">
        <v>3223</v>
      </c>
      <c r="D1029" s="1" t="s">
        <v>3224</v>
      </c>
      <c r="E1029" s="2" t="s">
        <v>3225</v>
      </c>
      <c r="F1029" s="2" t="s">
        <v>3226</v>
      </c>
      <c r="G1029" s="2">
        <v>0</v>
      </c>
      <c r="H1029" s="2" t="s">
        <v>74</v>
      </c>
      <c r="I1029" s="1">
        <v>0</v>
      </c>
      <c r="J1029" s="3" t="s">
        <v>447</v>
      </c>
      <c r="K1029" s="2" t="str">
        <f>J1029*4789.00</f>
        <v>0</v>
      </c>
      <c r="L1029" s="5"/>
    </row>
    <row r="1030" spans="1:12" customHeight="1" ht="105" outlineLevel="4">
      <c r="A1030" s="1"/>
      <c r="B1030" s="1">
        <v>903328</v>
      </c>
      <c r="C1030" s="1" t="s">
        <v>3227</v>
      </c>
      <c r="D1030" s="1" t="s">
        <v>3228</v>
      </c>
      <c r="E1030" s="2" t="s">
        <v>3229</v>
      </c>
      <c r="F1030" s="2" t="s">
        <v>3230</v>
      </c>
      <c r="G1030" s="2" t="s">
        <v>152</v>
      </c>
      <c r="H1030" s="2" t="s">
        <v>136</v>
      </c>
      <c r="I1030" s="1">
        <v>0</v>
      </c>
      <c r="J1030" s="3" t="s">
        <v>447</v>
      </c>
      <c r="K1030" s="2" t="str">
        <f>J1030*284.00</f>
        <v>0</v>
      </c>
      <c r="L1030" s="5"/>
    </row>
    <row r="1031" spans="1:12" customHeight="1" ht="105" outlineLevel="4">
      <c r="A1031" s="1"/>
      <c r="B1031" s="1">
        <v>903329</v>
      </c>
      <c r="C1031" s="1" t="s">
        <v>3231</v>
      </c>
      <c r="D1031" s="1" t="s">
        <v>3232</v>
      </c>
      <c r="E1031" s="2" t="s">
        <v>3233</v>
      </c>
      <c r="F1031" s="2" t="s">
        <v>3234</v>
      </c>
      <c r="G1031" s="2" t="s">
        <v>152</v>
      </c>
      <c r="H1031" s="2" t="s">
        <v>58</v>
      </c>
      <c r="I1031" s="1">
        <v>0</v>
      </c>
      <c r="J1031" s="3" t="s">
        <v>447</v>
      </c>
      <c r="K1031" s="2" t="str">
        <f>J1031*506.00</f>
        <v>0</v>
      </c>
      <c r="L1031" s="5"/>
    </row>
    <row r="1032" spans="1:12" customHeight="1" ht="105" outlineLevel="4">
      <c r="A1032" s="1"/>
      <c r="B1032" s="1">
        <v>903330</v>
      </c>
      <c r="C1032" s="1" t="s">
        <v>3235</v>
      </c>
      <c r="D1032" s="1" t="s">
        <v>3236</v>
      </c>
      <c r="E1032" s="2" t="s">
        <v>3237</v>
      </c>
      <c r="F1032" s="2" t="s">
        <v>3238</v>
      </c>
      <c r="G1032" s="2" t="s">
        <v>152</v>
      </c>
      <c r="H1032" s="2" t="s">
        <v>58</v>
      </c>
      <c r="I1032" s="1">
        <v>0</v>
      </c>
      <c r="J1032" s="3" t="s">
        <v>447</v>
      </c>
      <c r="K1032" s="2" t="str">
        <f>J1032*660.00</f>
        <v>0</v>
      </c>
      <c r="L1032" s="5"/>
    </row>
    <row r="1033" spans="1:12" customHeight="1" ht="105" outlineLevel="4">
      <c r="A1033" s="1"/>
      <c r="B1033" s="1">
        <v>903331</v>
      </c>
      <c r="C1033" s="1" t="s">
        <v>3239</v>
      </c>
      <c r="D1033" s="1" t="s">
        <v>3240</v>
      </c>
      <c r="E1033" s="2" t="s">
        <v>3241</v>
      </c>
      <c r="F1033" s="2" t="s">
        <v>3242</v>
      </c>
      <c r="G1033" s="2">
        <v>8</v>
      </c>
      <c r="H1033" s="2">
        <v>0</v>
      </c>
      <c r="I1033" s="1">
        <v>0</v>
      </c>
      <c r="J1033" s="3" t="s">
        <v>447</v>
      </c>
      <c r="K1033" s="2" t="str">
        <f>J1033*1256.00</f>
        <v>0</v>
      </c>
      <c r="L1033" s="5"/>
    </row>
    <row r="1034" spans="1:12" customHeight="1" ht="105" outlineLevel="4">
      <c r="A1034" s="1"/>
      <c r="B1034" s="1">
        <v>818795</v>
      </c>
      <c r="C1034" s="1" t="s">
        <v>3243</v>
      </c>
      <c r="D1034" s="1" t="s">
        <v>3244</v>
      </c>
      <c r="E1034" s="2" t="s">
        <v>3245</v>
      </c>
      <c r="F1034" s="2" t="s">
        <v>3246</v>
      </c>
      <c r="G1034" s="2">
        <v>5</v>
      </c>
      <c r="H1034" s="2" t="s">
        <v>74</v>
      </c>
      <c r="I1034" s="1">
        <v>0</v>
      </c>
      <c r="J1034" s="3" t="s">
        <v>447</v>
      </c>
      <c r="K1034" s="2" t="str">
        <f>J1034*2223.00</f>
        <v>0</v>
      </c>
      <c r="L1034" s="5"/>
    </row>
    <row r="1035" spans="1:12" customHeight="1" ht="105" outlineLevel="4">
      <c r="A1035" s="1"/>
      <c r="B1035" s="1">
        <v>903332</v>
      </c>
      <c r="C1035" s="1" t="s">
        <v>3247</v>
      </c>
      <c r="D1035" s="1" t="s">
        <v>3248</v>
      </c>
      <c r="E1035" s="2" t="s">
        <v>3249</v>
      </c>
      <c r="F1035" s="2" t="s">
        <v>3250</v>
      </c>
      <c r="G1035" s="2">
        <v>0</v>
      </c>
      <c r="H1035" s="2" t="s">
        <v>153</v>
      </c>
      <c r="I1035" s="1">
        <v>0</v>
      </c>
      <c r="J1035" s="3" t="s">
        <v>447</v>
      </c>
      <c r="K1035" s="2" t="str">
        <f>J1035*4486.00</f>
        <v>0</v>
      </c>
      <c r="L1035" s="5"/>
    </row>
    <row r="1036" spans="1:12" customHeight="1" ht="105" outlineLevel="4">
      <c r="A1036" s="1"/>
      <c r="B1036" s="1">
        <v>903333</v>
      </c>
      <c r="C1036" s="1" t="s">
        <v>3251</v>
      </c>
      <c r="D1036" s="1" t="s">
        <v>3252</v>
      </c>
      <c r="E1036" s="2" t="s">
        <v>3253</v>
      </c>
      <c r="F1036" s="2" t="s">
        <v>3254</v>
      </c>
      <c r="G1036" s="2">
        <v>0</v>
      </c>
      <c r="H1036" s="2">
        <v>6</v>
      </c>
      <c r="I1036" s="1">
        <v>0</v>
      </c>
      <c r="J1036" s="3" t="s">
        <v>447</v>
      </c>
      <c r="K1036" s="2" t="str">
        <f>J1036*8001.00</f>
        <v>0</v>
      </c>
      <c r="L1036" s="5"/>
    </row>
    <row r="1037" spans="1:12" customHeight="1" ht="105" outlineLevel="4">
      <c r="A1037" s="1"/>
      <c r="B1037" s="1">
        <v>903334</v>
      </c>
      <c r="C1037" s="1" t="s">
        <v>3255</v>
      </c>
      <c r="D1037" s="1" t="s">
        <v>3256</v>
      </c>
      <c r="E1037" s="2" t="s">
        <v>3257</v>
      </c>
      <c r="F1037" s="2" t="s">
        <v>3258</v>
      </c>
      <c r="G1037" s="2" t="s">
        <v>152</v>
      </c>
      <c r="H1037" s="2" t="s">
        <v>58</v>
      </c>
      <c r="I1037" s="1">
        <v>0</v>
      </c>
      <c r="J1037" s="3" t="s">
        <v>447</v>
      </c>
      <c r="K1037" s="2" t="str">
        <f>J1037*88.00</f>
        <v>0</v>
      </c>
      <c r="L1037" s="5"/>
    </row>
    <row r="1038" spans="1:12" customHeight="1" ht="105" outlineLevel="4">
      <c r="A1038" s="1"/>
      <c r="B1038" s="1">
        <v>903335</v>
      </c>
      <c r="C1038" s="1" t="s">
        <v>3259</v>
      </c>
      <c r="D1038" s="1" t="s">
        <v>3260</v>
      </c>
      <c r="E1038" s="2" t="s">
        <v>3261</v>
      </c>
      <c r="F1038" s="2" t="s">
        <v>2503</v>
      </c>
      <c r="G1038" s="2" t="s">
        <v>153</v>
      </c>
      <c r="H1038" s="2" t="s">
        <v>180</v>
      </c>
      <c r="I1038" s="1">
        <v>0</v>
      </c>
      <c r="J1038" s="3" t="s">
        <v>447</v>
      </c>
      <c r="K1038" s="2" t="str">
        <f>J1038*49.00</f>
        <v>0</v>
      </c>
      <c r="L1038" s="5"/>
    </row>
    <row r="1039" spans="1:12" customHeight="1" ht="105" outlineLevel="4">
      <c r="A1039" s="1"/>
      <c r="B1039" s="1">
        <v>903336</v>
      </c>
      <c r="C1039" s="1" t="s">
        <v>3262</v>
      </c>
      <c r="D1039" s="1" t="s">
        <v>3263</v>
      </c>
      <c r="E1039" s="2" t="s">
        <v>3264</v>
      </c>
      <c r="F1039" s="2" t="s">
        <v>3265</v>
      </c>
      <c r="G1039" s="2" t="s">
        <v>153</v>
      </c>
      <c r="H1039" s="2" t="s">
        <v>58</v>
      </c>
      <c r="I1039" s="1">
        <v>0</v>
      </c>
      <c r="J1039" s="3" t="s">
        <v>447</v>
      </c>
      <c r="K1039" s="2" t="str">
        <f>J1039*93.00</f>
        <v>0</v>
      </c>
      <c r="L1039" s="5"/>
    </row>
    <row r="1040" spans="1:12" customHeight="1" ht="105" outlineLevel="4">
      <c r="A1040" s="1"/>
      <c r="B1040" s="1">
        <v>818801</v>
      </c>
      <c r="C1040" s="1" t="s">
        <v>3266</v>
      </c>
      <c r="D1040" s="1" t="s">
        <v>3267</v>
      </c>
      <c r="E1040" s="2" t="s">
        <v>3268</v>
      </c>
      <c r="F1040" s="2" t="s">
        <v>3269</v>
      </c>
      <c r="G1040" s="2" t="s">
        <v>58</v>
      </c>
      <c r="H1040" s="2" t="s">
        <v>222</v>
      </c>
      <c r="I1040" s="1">
        <v>0</v>
      </c>
      <c r="J1040" s="3" t="s">
        <v>447</v>
      </c>
      <c r="K1040" s="2" t="str">
        <f>J1040*30.00</f>
        <v>0</v>
      </c>
      <c r="L1040" s="5"/>
    </row>
    <row r="1041" spans="1:12" customHeight="1" ht="105" outlineLevel="4">
      <c r="A1041" s="1"/>
      <c r="B1041" s="1">
        <v>903337</v>
      </c>
      <c r="C1041" s="1" t="s">
        <v>3270</v>
      </c>
      <c r="D1041" s="1" t="s">
        <v>3271</v>
      </c>
      <c r="E1041" s="2" t="s">
        <v>3272</v>
      </c>
      <c r="F1041" s="2" t="s">
        <v>2874</v>
      </c>
      <c r="G1041" s="2" t="s">
        <v>74</v>
      </c>
      <c r="H1041" s="2" t="s">
        <v>180</v>
      </c>
      <c r="I1041" s="1">
        <v>0</v>
      </c>
      <c r="J1041" s="3" t="s">
        <v>447</v>
      </c>
      <c r="K1041" s="2" t="str">
        <f>J1041*55.00</f>
        <v>0</v>
      </c>
      <c r="L1041" s="5"/>
    </row>
    <row r="1042" spans="1:12" customHeight="1" ht="105" outlineLevel="4">
      <c r="A1042" s="1"/>
      <c r="B1042" s="1">
        <v>818803</v>
      </c>
      <c r="C1042" s="1" t="s">
        <v>3273</v>
      </c>
      <c r="D1042" s="1" t="s">
        <v>3274</v>
      </c>
      <c r="E1042" s="2" t="s">
        <v>3275</v>
      </c>
      <c r="F1042" s="2" t="s">
        <v>2426</v>
      </c>
      <c r="G1042" s="2" t="s">
        <v>58</v>
      </c>
      <c r="H1042" s="2" t="s">
        <v>180</v>
      </c>
      <c r="I1042" s="1">
        <v>0</v>
      </c>
      <c r="J1042" s="3" t="s">
        <v>447</v>
      </c>
      <c r="K1042" s="2" t="str">
        <f>J1042*35.00</f>
        <v>0</v>
      </c>
      <c r="L1042" s="5"/>
    </row>
    <row r="1043" spans="1:12" customHeight="1" ht="105" outlineLevel="4">
      <c r="A1043" s="1"/>
      <c r="B1043" s="1">
        <v>818804</v>
      </c>
      <c r="C1043" s="1" t="s">
        <v>3276</v>
      </c>
      <c r="D1043" s="1" t="s">
        <v>3277</v>
      </c>
      <c r="E1043" s="2" t="s">
        <v>3278</v>
      </c>
      <c r="F1043" s="2" t="s">
        <v>2438</v>
      </c>
      <c r="G1043" s="2" t="s">
        <v>152</v>
      </c>
      <c r="H1043" s="2" t="s">
        <v>136</v>
      </c>
      <c r="I1043" s="1">
        <v>0</v>
      </c>
      <c r="J1043" s="3" t="s">
        <v>447</v>
      </c>
      <c r="K1043" s="2" t="str">
        <f>J1043*53.00</f>
        <v>0</v>
      </c>
      <c r="L1043" s="5"/>
    </row>
    <row r="1044" spans="1:12" customHeight="1" ht="105" outlineLevel="4">
      <c r="A1044" s="1"/>
      <c r="B1044" s="1">
        <v>903338</v>
      </c>
      <c r="C1044" s="1" t="s">
        <v>3279</v>
      </c>
      <c r="D1044" s="1" t="s">
        <v>3280</v>
      </c>
      <c r="E1044" s="2" t="s">
        <v>3281</v>
      </c>
      <c r="F1044" s="2" t="s">
        <v>3282</v>
      </c>
      <c r="G1044" s="2" t="s">
        <v>152</v>
      </c>
      <c r="H1044" s="2" t="s">
        <v>58</v>
      </c>
      <c r="I1044" s="1">
        <v>0</v>
      </c>
      <c r="J1044" s="3" t="s">
        <v>447</v>
      </c>
      <c r="K1044" s="2" t="str">
        <f>J1044*69.00</f>
        <v>0</v>
      </c>
      <c r="L1044" s="5"/>
    </row>
    <row r="1045" spans="1:12" outlineLevel="4">
      <c r="A1045" s="1"/>
      <c r="B1045" s="1">
        <v>929683</v>
      </c>
      <c r="C1045" s="1" t="s">
        <v>3283</v>
      </c>
      <c r="D1045" s="1" t="s">
        <v>3284</v>
      </c>
      <c r="E1045" s="2" t="s">
        <v>3285</v>
      </c>
      <c r="F1045" s="2" t="s">
        <v>3286</v>
      </c>
      <c r="G1045" s="2">
        <v>8</v>
      </c>
      <c r="H1045" s="2">
        <v>0</v>
      </c>
      <c r="I1045" s="1">
        <v>0</v>
      </c>
      <c r="J1045" s="3" t="s">
        <v>447</v>
      </c>
      <c r="K1045" s="2" t="str">
        <f>J1045*835.00</f>
        <v>0</v>
      </c>
      <c r="L1045" s="5"/>
    </row>
    <row r="1046" spans="1:12" outlineLevel="4">
      <c r="A1046" s="1"/>
      <c r="B1046" s="1">
        <v>929684</v>
      </c>
      <c r="C1046" s="1" t="s">
        <v>3287</v>
      </c>
      <c r="D1046" s="1" t="s">
        <v>3288</v>
      </c>
      <c r="E1046" s="2" t="s">
        <v>3289</v>
      </c>
      <c r="F1046" s="2" t="s">
        <v>3290</v>
      </c>
      <c r="G1046" s="2">
        <v>0</v>
      </c>
      <c r="H1046" s="2">
        <v>0</v>
      </c>
      <c r="I1046" s="1">
        <v>0</v>
      </c>
      <c r="J1046" s="3" t="s">
        <v>447</v>
      </c>
      <c r="K1046" s="2" t="str">
        <f>J1046*1298.00</f>
        <v>0</v>
      </c>
      <c r="L1046" s="5"/>
    </row>
    <row r="1047" spans="1:12" outlineLevel="4">
      <c r="A1047" s="1"/>
      <c r="B1047" s="1">
        <v>954406</v>
      </c>
      <c r="C1047" s="1" t="s">
        <v>3291</v>
      </c>
      <c r="D1047" s="1" t="s">
        <v>3292</v>
      </c>
      <c r="E1047" s="2" t="s">
        <v>3293</v>
      </c>
      <c r="F1047" s="2" t="s">
        <v>3294</v>
      </c>
      <c r="G1047" s="2">
        <v>7</v>
      </c>
      <c r="H1047" s="2">
        <v>0</v>
      </c>
      <c r="I1047" s="1">
        <v>0</v>
      </c>
      <c r="J1047" s="3" t="s">
        <v>447</v>
      </c>
      <c r="K1047" s="2" t="str">
        <f>J1047*2907.00</f>
        <v>0</v>
      </c>
      <c r="L1047" s="5"/>
    </row>
    <row r="1048" spans="1:12" outlineLevel="4">
      <c r="A1048" s="1"/>
      <c r="B1048" s="1">
        <v>954407</v>
      </c>
      <c r="C1048" s="1" t="s">
        <v>3295</v>
      </c>
      <c r="D1048" s="1" t="s">
        <v>3296</v>
      </c>
      <c r="E1048" s="2" t="s">
        <v>3297</v>
      </c>
      <c r="F1048" s="2" t="s">
        <v>3298</v>
      </c>
      <c r="G1048" s="2">
        <v>7</v>
      </c>
      <c r="H1048" s="2">
        <v>0</v>
      </c>
      <c r="I1048" s="1">
        <v>0</v>
      </c>
      <c r="J1048" s="3" t="s">
        <v>447</v>
      </c>
      <c r="K1048" s="2" t="str">
        <f>J1048*4352.00</f>
        <v>0</v>
      </c>
      <c r="L1048" s="5"/>
    </row>
    <row r="1049" spans="1:12" customHeight="1" ht="105" outlineLevel="4">
      <c r="A1049" s="1"/>
      <c r="B1049" s="1">
        <v>903339</v>
      </c>
      <c r="C1049" s="1" t="s">
        <v>3299</v>
      </c>
      <c r="D1049" s="1" t="s">
        <v>3300</v>
      </c>
      <c r="E1049" s="2" t="s">
        <v>3301</v>
      </c>
      <c r="F1049" s="2" t="s">
        <v>3302</v>
      </c>
      <c r="G1049" s="2" t="s">
        <v>153</v>
      </c>
      <c r="H1049" s="2" t="s">
        <v>58</v>
      </c>
      <c r="I1049" s="1">
        <v>0</v>
      </c>
      <c r="J1049" s="3" t="s">
        <v>447</v>
      </c>
      <c r="K1049" s="2" t="str">
        <f>J1049*611.00</f>
        <v>0</v>
      </c>
      <c r="L1049" s="5"/>
    </row>
    <row r="1050" spans="1:12" customHeight="1" ht="105" outlineLevel="4">
      <c r="A1050" s="1"/>
      <c r="B1050" s="1">
        <v>903340</v>
      </c>
      <c r="C1050" s="1" t="s">
        <v>3303</v>
      </c>
      <c r="D1050" s="1" t="s">
        <v>3304</v>
      </c>
      <c r="E1050" s="2" t="s">
        <v>3305</v>
      </c>
      <c r="F1050" s="2" t="s">
        <v>3306</v>
      </c>
      <c r="G1050" s="2">
        <v>10</v>
      </c>
      <c r="H1050" s="2" t="s">
        <v>58</v>
      </c>
      <c r="I1050" s="1">
        <v>0</v>
      </c>
      <c r="J1050" s="3" t="s">
        <v>447</v>
      </c>
      <c r="K1050" s="2" t="str">
        <f>J1050*680.00</f>
        <v>0</v>
      </c>
      <c r="L1050" s="5"/>
    </row>
    <row r="1051" spans="1:12" customHeight="1" ht="105" outlineLevel="4">
      <c r="A1051" s="1"/>
      <c r="B1051" s="1">
        <v>903341</v>
      </c>
      <c r="C1051" s="1" t="s">
        <v>3307</v>
      </c>
      <c r="D1051" s="1" t="s">
        <v>3308</v>
      </c>
      <c r="E1051" s="2" t="s">
        <v>3309</v>
      </c>
      <c r="F1051" s="2" t="s">
        <v>3310</v>
      </c>
      <c r="G1051" s="2" t="s">
        <v>153</v>
      </c>
      <c r="H1051" s="2" t="s">
        <v>153</v>
      </c>
      <c r="I1051" s="1">
        <v>0</v>
      </c>
      <c r="J1051" s="3" t="s">
        <v>447</v>
      </c>
      <c r="K1051" s="2" t="str">
        <f>J1051*233.00</f>
        <v>0</v>
      </c>
      <c r="L1051" s="5"/>
    </row>
    <row r="1052" spans="1:12" customHeight="1" ht="105" outlineLevel="4">
      <c r="A1052" s="1"/>
      <c r="B1052" s="1">
        <v>903342</v>
      </c>
      <c r="C1052" s="1" t="s">
        <v>3311</v>
      </c>
      <c r="D1052" s="1" t="s">
        <v>3312</v>
      </c>
      <c r="E1052" s="2" t="s">
        <v>3313</v>
      </c>
      <c r="F1052" s="2" t="s">
        <v>3314</v>
      </c>
      <c r="G1052" s="2" t="s">
        <v>152</v>
      </c>
      <c r="H1052" s="2" t="s">
        <v>58</v>
      </c>
      <c r="I1052" s="1">
        <v>0</v>
      </c>
      <c r="J1052" s="3" t="s">
        <v>447</v>
      </c>
      <c r="K1052" s="2" t="str">
        <f>J1052*293.00</f>
        <v>0</v>
      </c>
      <c r="L1052" s="5"/>
    </row>
    <row r="1053" spans="1:12" customHeight="1" ht="105" outlineLevel="4">
      <c r="A1053" s="1"/>
      <c r="B1053" s="1">
        <v>903343</v>
      </c>
      <c r="C1053" s="1" t="s">
        <v>3315</v>
      </c>
      <c r="D1053" s="1" t="s">
        <v>3316</v>
      </c>
      <c r="E1053" s="2" t="s">
        <v>3317</v>
      </c>
      <c r="F1053" s="2" t="s">
        <v>3318</v>
      </c>
      <c r="G1053" s="2">
        <v>10</v>
      </c>
      <c r="H1053" s="2" t="s">
        <v>58</v>
      </c>
      <c r="I1053" s="1">
        <v>0</v>
      </c>
      <c r="J1053" s="3" t="s">
        <v>447</v>
      </c>
      <c r="K1053" s="2" t="str">
        <f>J1053*520.00</f>
        <v>0</v>
      </c>
      <c r="L1053" s="5"/>
    </row>
    <row r="1054" spans="1:12" customHeight="1" ht="105" outlineLevel="4">
      <c r="A1054" s="1"/>
      <c r="B1054" s="1">
        <v>903344</v>
      </c>
      <c r="C1054" s="1" t="s">
        <v>3319</v>
      </c>
      <c r="D1054" s="1" t="s">
        <v>3320</v>
      </c>
      <c r="E1054" s="2" t="s">
        <v>3321</v>
      </c>
      <c r="F1054" s="2" t="s">
        <v>3310</v>
      </c>
      <c r="G1054" s="2">
        <v>10</v>
      </c>
      <c r="H1054" s="2" t="s">
        <v>136</v>
      </c>
      <c r="I1054" s="1">
        <v>0</v>
      </c>
      <c r="J1054" s="3" t="s">
        <v>447</v>
      </c>
      <c r="K1054" s="2" t="str">
        <f>J1054*233.00</f>
        <v>0</v>
      </c>
      <c r="L1054" s="5"/>
    </row>
    <row r="1055" spans="1:12" customHeight="1" ht="105" outlineLevel="4">
      <c r="A1055" s="1"/>
      <c r="B1055" s="1">
        <v>903345</v>
      </c>
      <c r="C1055" s="1" t="s">
        <v>3322</v>
      </c>
      <c r="D1055" s="1" t="s">
        <v>3323</v>
      </c>
      <c r="E1055" s="2" t="s">
        <v>3324</v>
      </c>
      <c r="F1055" s="2" t="s">
        <v>2395</v>
      </c>
      <c r="G1055" s="2" t="s">
        <v>152</v>
      </c>
      <c r="H1055" s="2" t="s">
        <v>58</v>
      </c>
      <c r="I1055" s="1">
        <v>0</v>
      </c>
      <c r="J1055" s="3" t="s">
        <v>447</v>
      </c>
      <c r="K1055" s="2" t="str">
        <f>J1055*274.00</f>
        <v>0</v>
      </c>
      <c r="L1055" s="5"/>
    </row>
    <row r="1056" spans="1:12" customHeight="1" ht="105" outlineLevel="4">
      <c r="A1056" s="1"/>
      <c r="B1056" s="1">
        <v>903346</v>
      </c>
      <c r="C1056" s="1" t="s">
        <v>3325</v>
      </c>
      <c r="D1056" s="1" t="s">
        <v>3326</v>
      </c>
      <c r="E1056" s="2" t="s">
        <v>3327</v>
      </c>
      <c r="F1056" s="2" t="s">
        <v>2660</v>
      </c>
      <c r="G1056" s="2">
        <v>9</v>
      </c>
      <c r="H1056" s="2" t="s">
        <v>58</v>
      </c>
      <c r="I1056" s="1">
        <v>0</v>
      </c>
      <c r="J1056" s="3" t="s">
        <v>447</v>
      </c>
      <c r="K1056" s="2" t="str">
        <f>J1056*483.00</f>
        <v>0</v>
      </c>
      <c r="L1056" s="5"/>
    </row>
    <row r="1057" spans="1:12" customHeight="1" ht="105" outlineLevel="4">
      <c r="A1057" s="1"/>
      <c r="B1057" s="1">
        <v>903347</v>
      </c>
      <c r="C1057" s="1" t="s">
        <v>3328</v>
      </c>
      <c r="D1057" s="1" t="s">
        <v>3329</v>
      </c>
      <c r="E1057" s="2" t="s">
        <v>3330</v>
      </c>
      <c r="F1057" s="2" t="s">
        <v>3331</v>
      </c>
      <c r="G1057" s="2">
        <v>0</v>
      </c>
      <c r="H1057" s="2" t="s">
        <v>180</v>
      </c>
      <c r="I1057" s="1">
        <v>0</v>
      </c>
      <c r="J1057" s="3" t="s">
        <v>447</v>
      </c>
      <c r="K1057" s="2" t="str">
        <f>J1057*92.00</f>
        <v>0</v>
      </c>
      <c r="L1057" s="5"/>
    </row>
    <row r="1058" spans="1:12" customHeight="1" ht="105" outlineLevel="4">
      <c r="A1058" s="1"/>
      <c r="B1058" s="1">
        <v>903348</v>
      </c>
      <c r="C1058" s="1" t="s">
        <v>3332</v>
      </c>
      <c r="D1058" s="1" t="s">
        <v>3333</v>
      </c>
      <c r="E1058" s="2" t="s">
        <v>3334</v>
      </c>
      <c r="F1058" s="2" t="s">
        <v>3335</v>
      </c>
      <c r="G1058" s="2">
        <v>1</v>
      </c>
      <c r="H1058" s="2" t="s">
        <v>58</v>
      </c>
      <c r="I1058" s="1">
        <v>0</v>
      </c>
      <c r="J1058" s="3" t="s">
        <v>447</v>
      </c>
      <c r="K1058" s="2" t="str">
        <f>J1058*118.00</f>
        <v>0</v>
      </c>
      <c r="L1058" s="5"/>
    </row>
    <row r="1059" spans="1:12" customHeight="1" ht="105" outlineLevel="4">
      <c r="A1059" s="1"/>
      <c r="B1059" s="1">
        <v>903349</v>
      </c>
      <c r="C1059" s="1" t="s">
        <v>3336</v>
      </c>
      <c r="D1059" s="1" t="s">
        <v>3337</v>
      </c>
      <c r="E1059" s="2" t="s">
        <v>3338</v>
      </c>
      <c r="F1059" s="2" t="s">
        <v>3339</v>
      </c>
      <c r="G1059" s="2" t="s">
        <v>152</v>
      </c>
      <c r="H1059" s="2">
        <v>0</v>
      </c>
      <c r="I1059" s="1">
        <v>0</v>
      </c>
      <c r="J1059" s="3" t="s">
        <v>447</v>
      </c>
      <c r="K1059" s="2" t="str">
        <f>J1059*107.00</f>
        <v>0</v>
      </c>
      <c r="L1059" s="5"/>
    </row>
    <row r="1060" spans="1:12" customHeight="1" ht="105" outlineLevel="4">
      <c r="A1060" s="1"/>
      <c r="B1060" s="1">
        <v>818822</v>
      </c>
      <c r="C1060" s="1" t="s">
        <v>3340</v>
      </c>
      <c r="D1060" s="1" t="s">
        <v>3341</v>
      </c>
      <c r="E1060" s="2" t="s">
        <v>3342</v>
      </c>
      <c r="F1060" s="2" t="s">
        <v>3343</v>
      </c>
      <c r="G1060" s="2" t="s">
        <v>136</v>
      </c>
      <c r="H1060" s="2" t="s">
        <v>222</v>
      </c>
      <c r="I1060" s="1">
        <v>0</v>
      </c>
      <c r="J1060" s="3" t="s">
        <v>447</v>
      </c>
      <c r="K1060" s="2" t="str">
        <f>J1060*11.00</f>
        <v>0</v>
      </c>
      <c r="L1060" s="5"/>
    </row>
    <row r="1061" spans="1:12" customHeight="1" ht="105" outlineLevel="4">
      <c r="A1061" s="1"/>
      <c r="B1061" s="1">
        <v>818823</v>
      </c>
      <c r="C1061" s="1" t="s">
        <v>3344</v>
      </c>
      <c r="D1061" s="1" t="s">
        <v>3345</v>
      </c>
      <c r="E1061" s="2" t="s">
        <v>3346</v>
      </c>
      <c r="F1061" s="2" t="s">
        <v>2376</v>
      </c>
      <c r="G1061" s="2" t="s">
        <v>152</v>
      </c>
      <c r="H1061" s="2" t="s">
        <v>180</v>
      </c>
      <c r="I1061" s="1">
        <v>0</v>
      </c>
      <c r="J1061" s="3" t="s">
        <v>447</v>
      </c>
      <c r="K1061" s="2" t="str">
        <f>J1061*15.00</f>
        <v>0</v>
      </c>
      <c r="L1061" s="5"/>
    </row>
    <row r="1062" spans="1:12" customHeight="1" ht="105" outlineLevel="4">
      <c r="A1062" s="1"/>
      <c r="B1062" s="1">
        <v>818824</v>
      </c>
      <c r="C1062" s="1" t="s">
        <v>3347</v>
      </c>
      <c r="D1062" s="1" t="s">
        <v>3348</v>
      </c>
      <c r="E1062" s="2" t="s">
        <v>3349</v>
      </c>
      <c r="F1062" s="2" t="s">
        <v>3350</v>
      </c>
      <c r="G1062" s="2" t="s">
        <v>152</v>
      </c>
      <c r="H1062" s="2" t="s">
        <v>180</v>
      </c>
      <c r="I1062" s="1">
        <v>0</v>
      </c>
      <c r="J1062" s="3" t="s">
        <v>447</v>
      </c>
      <c r="K1062" s="2" t="str">
        <f>J1062*27.00</f>
        <v>0</v>
      </c>
      <c r="L1062" s="5"/>
    </row>
    <row r="1063" spans="1:12" customHeight="1" ht="105" outlineLevel="4">
      <c r="A1063" s="1"/>
      <c r="B1063" s="1">
        <v>903350</v>
      </c>
      <c r="C1063" s="1" t="s">
        <v>3351</v>
      </c>
      <c r="D1063" s="1" t="s">
        <v>3352</v>
      </c>
      <c r="E1063" s="2" t="s">
        <v>3353</v>
      </c>
      <c r="F1063" s="2" t="s">
        <v>2430</v>
      </c>
      <c r="G1063" s="2" t="s">
        <v>153</v>
      </c>
      <c r="H1063" s="2" t="s">
        <v>58</v>
      </c>
      <c r="I1063" s="1">
        <v>0</v>
      </c>
      <c r="J1063" s="3" t="s">
        <v>447</v>
      </c>
      <c r="K1063" s="2" t="str">
        <f>J1063*40.00</f>
        <v>0</v>
      </c>
      <c r="L1063" s="5"/>
    </row>
    <row r="1064" spans="1:12" customHeight="1" ht="105" outlineLevel="4">
      <c r="A1064" s="1"/>
      <c r="B1064" s="1">
        <v>903351</v>
      </c>
      <c r="C1064" s="1" t="s">
        <v>3354</v>
      </c>
      <c r="D1064" s="1" t="s">
        <v>3355</v>
      </c>
      <c r="E1064" s="2" t="s">
        <v>3356</v>
      </c>
      <c r="F1064" s="2" t="s">
        <v>2388</v>
      </c>
      <c r="G1064" s="2" t="s">
        <v>153</v>
      </c>
      <c r="H1064" s="2" t="s">
        <v>58</v>
      </c>
      <c r="I1064" s="1">
        <v>0</v>
      </c>
      <c r="J1064" s="3" t="s">
        <v>447</v>
      </c>
      <c r="K1064" s="2" t="str">
        <f>J1064*71.00</f>
        <v>0</v>
      </c>
      <c r="L1064" s="5"/>
    </row>
    <row r="1065" spans="1:12" customHeight="1" ht="105" outlineLevel="4">
      <c r="A1065" s="1"/>
      <c r="B1065" s="1">
        <v>903352</v>
      </c>
      <c r="C1065" s="1" t="s">
        <v>3357</v>
      </c>
      <c r="D1065" s="1" t="s">
        <v>3358</v>
      </c>
      <c r="E1065" s="2" t="s">
        <v>3359</v>
      </c>
      <c r="F1065" s="2" t="s">
        <v>3360</v>
      </c>
      <c r="G1065" s="2">
        <v>0</v>
      </c>
      <c r="H1065" s="2" t="s">
        <v>74</v>
      </c>
      <c r="I1065" s="1">
        <v>0</v>
      </c>
      <c r="J1065" s="3" t="s">
        <v>447</v>
      </c>
      <c r="K1065" s="2" t="str">
        <f>J1065*136.00</f>
        <v>0</v>
      </c>
      <c r="L1065" s="5"/>
    </row>
    <row r="1066" spans="1:12" customHeight="1" ht="105" outlineLevel="4">
      <c r="A1066" s="1"/>
      <c r="B1066" s="1">
        <v>903353</v>
      </c>
      <c r="C1066" s="1" t="s">
        <v>3361</v>
      </c>
      <c r="D1066" s="1" t="s">
        <v>3362</v>
      </c>
      <c r="E1066" s="2" t="s">
        <v>3363</v>
      </c>
      <c r="F1066" s="2" t="s">
        <v>3364</v>
      </c>
      <c r="G1066" s="2">
        <v>0</v>
      </c>
      <c r="H1066" s="2">
        <v>0</v>
      </c>
      <c r="I1066" s="1">
        <v>0</v>
      </c>
      <c r="J1066" s="3" t="s">
        <v>447</v>
      </c>
      <c r="K1066" s="2" t="str">
        <f>J1066*428.00</f>
        <v>0</v>
      </c>
      <c r="L1066" s="5"/>
    </row>
    <row r="1067" spans="1:12" customHeight="1" ht="105" outlineLevel="4">
      <c r="A1067" s="1"/>
      <c r="B1067" s="1">
        <v>903354</v>
      </c>
      <c r="C1067" s="1" t="s">
        <v>3365</v>
      </c>
      <c r="D1067" s="1" t="s">
        <v>3366</v>
      </c>
      <c r="E1067" s="2" t="s">
        <v>3367</v>
      </c>
      <c r="F1067" s="2" t="s">
        <v>2372</v>
      </c>
      <c r="G1067" s="2" t="s">
        <v>74</v>
      </c>
      <c r="H1067" s="2" t="s">
        <v>180</v>
      </c>
      <c r="I1067" s="1">
        <v>0</v>
      </c>
      <c r="J1067" s="3" t="s">
        <v>447</v>
      </c>
      <c r="K1067" s="2" t="str">
        <f>J1067*12.00</f>
        <v>0</v>
      </c>
      <c r="L1067" s="5"/>
    </row>
    <row r="1068" spans="1:12" customHeight="1" ht="105" outlineLevel="4">
      <c r="A1068" s="1"/>
      <c r="B1068" s="1">
        <v>903355</v>
      </c>
      <c r="C1068" s="1" t="s">
        <v>3368</v>
      </c>
      <c r="D1068" s="1" t="s">
        <v>3369</v>
      </c>
      <c r="E1068" s="2" t="s">
        <v>3370</v>
      </c>
      <c r="F1068" s="2" t="s">
        <v>2410</v>
      </c>
      <c r="G1068" s="2" t="s">
        <v>74</v>
      </c>
      <c r="H1068" s="2" t="s">
        <v>180</v>
      </c>
      <c r="I1068" s="1">
        <v>0</v>
      </c>
      <c r="J1068" s="3" t="s">
        <v>447</v>
      </c>
      <c r="K1068" s="2" t="str">
        <f>J1068*17.00</f>
        <v>0</v>
      </c>
      <c r="L1068" s="5"/>
    </row>
    <row r="1069" spans="1:12" customHeight="1" ht="105" outlineLevel="4">
      <c r="A1069" s="1"/>
      <c r="B1069" s="1">
        <v>903356</v>
      </c>
      <c r="C1069" s="1" t="s">
        <v>3371</v>
      </c>
      <c r="D1069" s="1" t="s">
        <v>3372</v>
      </c>
      <c r="E1069" s="2" t="s">
        <v>3373</v>
      </c>
      <c r="F1069" s="2" t="s">
        <v>3374</v>
      </c>
      <c r="G1069" s="2" t="s">
        <v>152</v>
      </c>
      <c r="H1069" s="2" t="s">
        <v>58</v>
      </c>
      <c r="I1069" s="1">
        <v>0</v>
      </c>
      <c r="J1069" s="3" t="s">
        <v>447</v>
      </c>
      <c r="K1069" s="2" t="str">
        <f>J1069*37.00</f>
        <v>0</v>
      </c>
      <c r="L1069" s="5"/>
    </row>
    <row r="1070" spans="1:12" customHeight="1" ht="105" outlineLevel="4">
      <c r="A1070" s="1"/>
      <c r="B1070" s="1">
        <v>818832</v>
      </c>
      <c r="C1070" s="1" t="s">
        <v>3375</v>
      </c>
      <c r="D1070" s="1" t="s">
        <v>3376</v>
      </c>
      <c r="E1070" s="2" t="s">
        <v>3377</v>
      </c>
      <c r="F1070" s="2" t="s">
        <v>2499</v>
      </c>
      <c r="G1070" s="2" t="s">
        <v>58</v>
      </c>
      <c r="H1070" s="2" t="s">
        <v>222</v>
      </c>
      <c r="I1070" s="1">
        <v>0</v>
      </c>
      <c r="J1070" s="3" t="s">
        <v>3378</v>
      </c>
      <c r="K1070" s="2" t="str">
        <f>J1070*52.00</f>
        <v>0</v>
      </c>
      <c r="L1070" s="5"/>
    </row>
    <row r="1071" spans="1:12" customHeight="1" ht="105" outlineLevel="4">
      <c r="A1071" s="1"/>
      <c r="B1071" s="1">
        <v>903357</v>
      </c>
      <c r="C1071" s="1" t="s">
        <v>3379</v>
      </c>
      <c r="D1071" s="1" t="s">
        <v>3380</v>
      </c>
      <c r="E1071" s="2" t="s">
        <v>3381</v>
      </c>
      <c r="F1071" s="2" t="s">
        <v>3040</v>
      </c>
      <c r="G1071" s="2" t="s">
        <v>152</v>
      </c>
      <c r="H1071" s="2" t="s">
        <v>180</v>
      </c>
      <c r="I1071" s="1">
        <v>0</v>
      </c>
      <c r="J1071" s="3" t="s">
        <v>447</v>
      </c>
      <c r="K1071" s="2" t="str">
        <f>J1071*38.00</f>
        <v>0</v>
      </c>
      <c r="L1071" s="5"/>
    </row>
    <row r="1072" spans="1:12" customHeight="1" ht="105" outlineLevel="4">
      <c r="A1072" s="1"/>
      <c r="B1072" s="1">
        <v>903358</v>
      </c>
      <c r="C1072" s="1" t="s">
        <v>3382</v>
      </c>
      <c r="D1072" s="1" t="s">
        <v>3383</v>
      </c>
      <c r="E1072" s="2" t="s">
        <v>3384</v>
      </c>
      <c r="F1072" s="2" t="s">
        <v>3385</v>
      </c>
      <c r="G1072" s="2" t="s">
        <v>153</v>
      </c>
      <c r="H1072" s="2" t="s">
        <v>136</v>
      </c>
      <c r="I1072" s="1">
        <v>0</v>
      </c>
      <c r="J1072" s="3" t="s">
        <v>447</v>
      </c>
      <c r="K1072" s="2" t="str">
        <f>J1072*62.00</f>
        <v>0</v>
      </c>
      <c r="L1072" s="5"/>
    </row>
    <row r="1073" spans="1:12" customHeight="1" ht="105" outlineLevel="4">
      <c r="A1073" s="1"/>
      <c r="B1073" s="1">
        <v>903359</v>
      </c>
      <c r="C1073" s="1" t="s">
        <v>3386</v>
      </c>
      <c r="D1073" s="1" t="s">
        <v>3387</v>
      </c>
      <c r="E1073" s="2" t="s">
        <v>3388</v>
      </c>
      <c r="F1073" s="2" t="s">
        <v>3070</v>
      </c>
      <c r="G1073" s="2" t="s">
        <v>153</v>
      </c>
      <c r="H1073" s="2" t="s">
        <v>58</v>
      </c>
      <c r="I1073" s="1">
        <v>0</v>
      </c>
      <c r="J1073" s="3" t="s">
        <v>447</v>
      </c>
      <c r="K1073" s="2" t="str">
        <f>J1073*149.00</f>
        <v>0</v>
      </c>
      <c r="L1073" s="5"/>
    </row>
    <row r="1074" spans="1:12" customHeight="1" ht="105" outlineLevel="4">
      <c r="A1074" s="1"/>
      <c r="B1074" s="1">
        <v>903360</v>
      </c>
      <c r="C1074" s="1" t="s">
        <v>3389</v>
      </c>
      <c r="D1074" s="1" t="s">
        <v>3390</v>
      </c>
      <c r="E1074" s="2" t="s">
        <v>3391</v>
      </c>
      <c r="F1074" s="2" t="s">
        <v>3392</v>
      </c>
      <c r="G1074" s="2" t="s">
        <v>153</v>
      </c>
      <c r="H1074" s="2" t="s">
        <v>74</v>
      </c>
      <c r="I1074" s="1">
        <v>0</v>
      </c>
      <c r="J1074" s="3" t="s">
        <v>447</v>
      </c>
      <c r="K1074" s="2" t="str">
        <f>J1074*286.00</f>
        <v>0</v>
      </c>
      <c r="L1074" s="5"/>
    </row>
    <row r="1075" spans="1:12" customHeight="1" ht="105" outlineLevel="4">
      <c r="A1075" s="1"/>
      <c r="B1075" s="1">
        <v>903361</v>
      </c>
      <c r="C1075" s="1" t="s">
        <v>3393</v>
      </c>
      <c r="D1075" s="1" t="s">
        <v>3394</v>
      </c>
      <c r="E1075" s="2" t="s">
        <v>3395</v>
      </c>
      <c r="F1075" s="2" t="s">
        <v>3048</v>
      </c>
      <c r="G1075" s="2">
        <v>0</v>
      </c>
      <c r="H1075" s="2" t="s">
        <v>74</v>
      </c>
      <c r="I1075" s="1">
        <v>0</v>
      </c>
      <c r="J1075" s="3" t="s">
        <v>447</v>
      </c>
      <c r="K1075" s="2" t="str">
        <f>J1075*126.00</f>
        <v>0</v>
      </c>
      <c r="L1075" s="5"/>
    </row>
    <row r="1076" spans="1:12" customHeight="1" ht="105" outlineLevel="4">
      <c r="A1076" s="1"/>
      <c r="B1076" s="1">
        <v>903362</v>
      </c>
      <c r="C1076" s="1" t="s">
        <v>3396</v>
      </c>
      <c r="D1076" s="1" t="s">
        <v>3397</v>
      </c>
      <c r="E1076" s="2" t="s">
        <v>3398</v>
      </c>
      <c r="F1076" s="2" t="s">
        <v>64</v>
      </c>
      <c r="G1076" s="2">
        <v>0</v>
      </c>
      <c r="H1076" s="2" t="s">
        <v>58</v>
      </c>
      <c r="I1076" s="1">
        <v>0</v>
      </c>
      <c r="J1076" s="3" t="s">
        <v>447</v>
      </c>
      <c r="K1076" s="2" t="str">
        <f>J1076*189.00</f>
        <v>0</v>
      </c>
      <c r="L1076" s="5"/>
    </row>
    <row r="1077" spans="1:12" customHeight="1" ht="105" outlineLevel="4">
      <c r="A1077" s="1"/>
      <c r="B1077" s="1">
        <v>903363</v>
      </c>
      <c r="C1077" s="1" t="s">
        <v>3399</v>
      </c>
      <c r="D1077" s="1" t="s">
        <v>3400</v>
      </c>
      <c r="E1077" s="2" t="s">
        <v>3401</v>
      </c>
      <c r="F1077" s="2" t="s">
        <v>3402</v>
      </c>
      <c r="G1077" s="2">
        <v>0</v>
      </c>
      <c r="H1077" s="2" t="s">
        <v>152</v>
      </c>
      <c r="I1077" s="1">
        <v>0</v>
      </c>
      <c r="J1077" s="3" t="s">
        <v>447</v>
      </c>
      <c r="K1077" s="2" t="str">
        <f>J1077*408.00</f>
        <v>0</v>
      </c>
      <c r="L1077" s="5"/>
    </row>
    <row r="1078" spans="1:12" customHeight="1" ht="105" outlineLevel="4">
      <c r="A1078" s="1"/>
      <c r="B1078" s="1">
        <v>903364</v>
      </c>
      <c r="C1078" s="1" t="s">
        <v>3403</v>
      </c>
      <c r="D1078" s="1" t="s">
        <v>3404</v>
      </c>
      <c r="E1078" s="2" t="s">
        <v>3405</v>
      </c>
      <c r="F1078" s="2" t="s">
        <v>3406</v>
      </c>
      <c r="G1078" s="2">
        <v>2</v>
      </c>
      <c r="H1078" s="2" t="s">
        <v>152</v>
      </c>
      <c r="I1078" s="1">
        <v>0</v>
      </c>
      <c r="J1078" s="3" t="s">
        <v>447</v>
      </c>
      <c r="K1078" s="2" t="str">
        <f>J1078*621.00</f>
        <v>0</v>
      </c>
      <c r="L1078" s="5"/>
    </row>
    <row r="1079" spans="1:12" customHeight="1" ht="105" outlineLevel="4">
      <c r="A1079" s="1"/>
      <c r="B1079" s="1">
        <v>903366</v>
      </c>
      <c r="C1079" s="1" t="s">
        <v>3407</v>
      </c>
      <c r="D1079" s="1" t="s">
        <v>3408</v>
      </c>
      <c r="E1079" s="2" t="s">
        <v>3409</v>
      </c>
      <c r="F1079" s="2" t="s">
        <v>2786</v>
      </c>
      <c r="G1079" s="2">
        <v>0</v>
      </c>
      <c r="H1079" s="2">
        <v>0</v>
      </c>
      <c r="I1079" s="1">
        <v>0</v>
      </c>
      <c r="J1079" s="3" t="s">
        <v>447</v>
      </c>
      <c r="K1079" s="2" t="str">
        <f>J1079*557.00</f>
        <v>0</v>
      </c>
      <c r="L1079" s="5"/>
    </row>
    <row r="1080" spans="1:12" customHeight="1" ht="105" outlineLevel="4">
      <c r="A1080" s="1"/>
      <c r="B1080" s="1">
        <v>903367</v>
      </c>
      <c r="C1080" s="1" t="s">
        <v>3410</v>
      </c>
      <c r="D1080" s="1" t="s">
        <v>3411</v>
      </c>
      <c r="E1080" s="2" t="s">
        <v>3412</v>
      </c>
      <c r="F1080" s="2" t="s">
        <v>2985</v>
      </c>
      <c r="G1080" s="2">
        <v>0</v>
      </c>
      <c r="H1080" s="2">
        <v>0</v>
      </c>
      <c r="I1080" s="1">
        <v>0</v>
      </c>
      <c r="J1080" s="3" t="s">
        <v>447</v>
      </c>
      <c r="K1080" s="2" t="str">
        <f>J1080*311.00</f>
        <v>0</v>
      </c>
      <c r="L1080" s="5"/>
    </row>
    <row r="1081" spans="1:12" customHeight="1" ht="105" outlineLevel="4">
      <c r="A1081" s="1"/>
      <c r="B1081" s="1">
        <v>903368</v>
      </c>
      <c r="C1081" s="1" t="s">
        <v>3413</v>
      </c>
      <c r="D1081" s="1" t="s">
        <v>3414</v>
      </c>
      <c r="E1081" s="2" t="s">
        <v>3415</v>
      </c>
      <c r="F1081" s="2" t="s">
        <v>3416</v>
      </c>
      <c r="G1081" s="2">
        <v>0</v>
      </c>
      <c r="H1081" s="2" t="s">
        <v>153</v>
      </c>
      <c r="I1081" s="1">
        <v>0</v>
      </c>
      <c r="J1081" s="3" t="s">
        <v>447</v>
      </c>
      <c r="K1081" s="2" t="str">
        <f>J1081*1600.00</f>
        <v>0</v>
      </c>
      <c r="L1081" s="5"/>
    </row>
    <row r="1082" spans="1:12" customHeight="1" ht="105" outlineLevel="4">
      <c r="A1082" s="1"/>
      <c r="B1082" s="1">
        <v>903369</v>
      </c>
      <c r="C1082" s="1" t="s">
        <v>3417</v>
      </c>
      <c r="D1082" s="1" t="s">
        <v>3418</v>
      </c>
      <c r="E1082" s="2" t="s">
        <v>3419</v>
      </c>
      <c r="F1082" s="2" t="s">
        <v>3420</v>
      </c>
      <c r="G1082" s="2">
        <v>0</v>
      </c>
      <c r="H1082" s="2">
        <v>0</v>
      </c>
      <c r="I1082" s="1">
        <v>0</v>
      </c>
      <c r="J1082" s="3" t="s">
        <v>447</v>
      </c>
      <c r="K1082" s="2" t="str">
        <f>J1082*701.00</f>
        <v>0</v>
      </c>
      <c r="L1082" s="5"/>
    </row>
    <row r="1083" spans="1:12" customHeight="1" ht="105" outlineLevel="4">
      <c r="A1083" s="1"/>
      <c r="B1083" s="1">
        <v>903370</v>
      </c>
      <c r="C1083" s="1" t="s">
        <v>3421</v>
      </c>
      <c r="D1083" s="1" t="s">
        <v>3422</v>
      </c>
      <c r="E1083" s="2" t="s">
        <v>3423</v>
      </c>
      <c r="F1083" s="2" t="s">
        <v>3424</v>
      </c>
      <c r="G1083" s="2">
        <v>0</v>
      </c>
      <c r="H1083" s="2" t="s">
        <v>153</v>
      </c>
      <c r="I1083" s="1">
        <v>0</v>
      </c>
      <c r="J1083" s="3" t="s">
        <v>447</v>
      </c>
      <c r="K1083" s="2" t="str">
        <f>J1083*463.00</f>
        <v>0</v>
      </c>
      <c r="L1083" s="5"/>
    </row>
    <row r="1084" spans="1:12" customHeight="1" ht="105" outlineLevel="4">
      <c r="A1084" s="1"/>
      <c r="B1084" s="1">
        <v>903371</v>
      </c>
      <c r="C1084" s="1" t="s">
        <v>3425</v>
      </c>
      <c r="D1084" s="1" t="s">
        <v>3426</v>
      </c>
      <c r="E1084" s="2" t="s">
        <v>3427</v>
      </c>
      <c r="F1084" s="2" t="s">
        <v>3428</v>
      </c>
      <c r="G1084" s="2">
        <v>0</v>
      </c>
      <c r="H1084" s="2" t="s">
        <v>58</v>
      </c>
      <c r="I1084" s="1">
        <v>0</v>
      </c>
      <c r="J1084" s="3" t="s">
        <v>447</v>
      </c>
      <c r="K1084" s="2" t="str">
        <f>J1084*434.00</f>
        <v>0</v>
      </c>
      <c r="L1084" s="5"/>
    </row>
    <row r="1085" spans="1:12" customHeight="1" ht="105" outlineLevel="4">
      <c r="A1085" s="1"/>
      <c r="B1085" s="1">
        <v>903372</v>
      </c>
      <c r="C1085" s="1" t="s">
        <v>3429</v>
      </c>
      <c r="D1085" s="1" t="s">
        <v>3430</v>
      </c>
      <c r="E1085" s="2" t="s">
        <v>3431</v>
      </c>
      <c r="F1085" s="2" t="s">
        <v>3432</v>
      </c>
      <c r="G1085" s="2">
        <v>0</v>
      </c>
      <c r="H1085" s="2" t="s">
        <v>58</v>
      </c>
      <c r="I1085" s="1">
        <v>0</v>
      </c>
      <c r="J1085" s="3" t="s">
        <v>447</v>
      </c>
      <c r="K1085" s="2" t="str">
        <f>J1085*515.00</f>
        <v>0</v>
      </c>
      <c r="L1085" s="5"/>
    </row>
    <row r="1086" spans="1:12" customHeight="1" ht="105" outlineLevel="4">
      <c r="A1086" s="1"/>
      <c r="B1086" s="1">
        <v>903373</v>
      </c>
      <c r="C1086" s="1" t="s">
        <v>3433</v>
      </c>
      <c r="D1086" s="1" t="s">
        <v>3434</v>
      </c>
      <c r="E1086" s="2" t="s">
        <v>3435</v>
      </c>
      <c r="F1086" s="2" t="s">
        <v>3436</v>
      </c>
      <c r="G1086" s="2">
        <v>0</v>
      </c>
      <c r="H1086" s="2" t="s">
        <v>74</v>
      </c>
      <c r="I1086" s="1">
        <v>0</v>
      </c>
      <c r="J1086" s="3" t="s">
        <v>447</v>
      </c>
      <c r="K1086" s="2" t="str">
        <f>J1086*368.00</f>
        <v>0</v>
      </c>
      <c r="L1086" s="5"/>
    </row>
    <row r="1087" spans="1:12" customHeight="1" ht="105" outlineLevel="4">
      <c r="A1087" s="1"/>
      <c r="B1087" s="1">
        <v>903374</v>
      </c>
      <c r="C1087" s="1" t="s">
        <v>3437</v>
      </c>
      <c r="D1087" s="1" t="s">
        <v>3438</v>
      </c>
      <c r="E1087" s="2" t="s">
        <v>3439</v>
      </c>
      <c r="F1087" s="2" t="s">
        <v>3440</v>
      </c>
      <c r="G1087" s="2">
        <v>0</v>
      </c>
      <c r="H1087" s="2" t="s">
        <v>74</v>
      </c>
      <c r="I1087" s="1">
        <v>0</v>
      </c>
      <c r="J1087" s="3" t="s">
        <v>447</v>
      </c>
      <c r="K1087" s="2" t="str">
        <f>J1087*469.00</f>
        <v>0</v>
      </c>
      <c r="L1087" s="5"/>
    </row>
    <row r="1088" spans="1:12" outlineLevel="2">
      <c r="A1088" s="8" t="s">
        <v>3441</v>
      </c>
      <c r="B1088" s="8"/>
      <c r="C1088" s="8"/>
      <c r="D1088" s="8"/>
      <c r="E1088" s="8"/>
      <c r="F1088" s="8"/>
      <c r="G1088" s="8"/>
      <c r="H1088" s="8"/>
      <c r="I1088" s="8"/>
      <c r="J1088" s="8"/>
      <c r="K1088" s="8"/>
      <c r="L1088" s="5"/>
    </row>
    <row r="1089" spans="1:12" customHeight="1" ht="105" outlineLevel="4">
      <c r="A1089" s="1"/>
      <c r="B1089" s="1">
        <v>811273</v>
      </c>
      <c r="C1089" s="1" t="s">
        <v>3442</v>
      </c>
      <c r="D1089" s="1" t="s">
        <v>3443</v>
      </c>
      <c r="E1089" s="2" t="s">
        <v>3444</v>
      </c>
      <c r="F1089" s="2" t="s">
        <v>3445</v>
      </c>
      <c r="G1089" s="2" t="s">
        <v>74</v>
      </c>
      <c r="H1089" s="2">
        <v>0</v>
      </c>
      <c r="I1089" s="1">
        <v>0</v>
      </c>
      <c r="J1089" s="3" t="s">
        <v>447</v>
      </c>
      <c r="K1089" s="2" t="str">
        <f>J1089*62.48</f>
        <v>0</v>
      </c>
      <c r="L1089" s="5"/>
    </row>
    <row r="1090" spans="1:12" customHeight="1" ht="105" outlineLevel="4">
      <c r="A1090" s="1"/>
      <c r="B1090" s="1">
        <v>811274</v>
      </c>
      <c r="C1090" s="1" t="s">
        <v>3446</v>
      </c>
      <c r="D1090" s="1" t="s">
        <v>3447</v>
      </c>
      <c r="E1090" s="2" t="s">
        <v>3448</v>
      </c>
      <c r="F1090" s="2" t="s">
        <v>3449</v>
      </c>
      <c r="G1090" s="2" t="s">
        <v>58</v>
      </c>
      <c r="H1090" s="2">
        <v>0</v>
      </c>
      <c r="I1090" s="1">
        <v>0</v>
      </c>
      <c r="J1090" s="3" t="s">
        <v>447</v>
      </c>
      <c r="K1090" s="2" t="str">
        <f>J1090*89.25</f>
        <v>0</v>
      </c>
      <c r="L1090" s="5"/>
    </row>
    <row r="1091" spans="1:12" customHeight="1" ht="105" outlineLevel="4">
      <c r="A1091" s="1"/>
      <c r="B1091" s="1">
        <v>811275</v>
      </c>
      <c r="C1091" s="1" t="s">
        <v>3450</v>
      </c>
      <c r="D1091" s="1" t="s">
        <v>3451</v>
      </c>
      <c r="E1091" s="2" t="s">
        <v>3452</v>
      </c>
      <c r="F1091" s="2" t="s">
        <v>3453</v>
      </c>
      <c r="G1091" s="2" t="s">
        <v>74</v>
      </c>
      <c r="H1091" s="2">
        <v>0</v>
      </c>
      <c r="I1091" s="1">
        <v>0</v>
      </c>
      <c r="J1091" s="3" t="s">
        <v>447</v>
      </c>
      <c r="K1091" s="2" t="str">
        <f>J1091*113.05</f>
        <v>0</v>
      </c>
      <c r="L1091" s="5"/>
    </row>
    <row r="1092" spans="1:12" customHeight="1" ht="105" outlineLevel="4">
      <c r="A1092" s="1"/>
      <c r="B1092" s="1">
        <v>811276</v>
      </c>
      <c r="C1092" s="1" t="s">
        <v>3454</v>
      </c>
      <c r="D1092" s="1" t="s">
        <v>3455</v>
      </c>
      <c r="E1092" s="2" t="s">
        <v>3456</v>
      </c>
      <c r="F1092" s="2" t="s">
        <v>3457</v>
      </c>
      <c r="G1092" s="2" t="s">
        <v>152</v>
      </c>
      <c r="H1092" s="2">
        <v>0</v>
      </c>
      <c r="I1092" s="1">
        <v>0</v>
      </c>
      <c r="J1092" s="3" t="s">
        <v>447</v>
      </c>
      <c r="K1092" s="2" t="str">
        <f>J1092*261.80</f>
        <v>0</v>
      </c>
      <c r="L1092" s="5"/>
    </row>
    <row r="1093" spans="1:12" customHeight="1" ht="105" outlineLevel="4">
      <c r="A1093" s="1"/>
      <c r="B1093" s="1">
        <v>811277</v>
      </c>
      <c r="C1093" s="1" t="s">
        <v>3458</v>
      </c>
      <c r="D1093" s="1" t="s">
        <v>3459</v>
      </c>
      <c r="E1093" s="2" t="s">
        <v>3460</v>
      </c>
      <c r="F1093" s="2" t="s">
        <v>3461</v>
      </c>
      <c r="G1093" s="2" t="s">
        <v>153</v>
      </c>
      <c r="H1093" s="2">
        <v>0</v>
      </c>
      <c r="I1093" s="1">
        <v>0</v>
      </c>
      <c r="J1093" s="3" t="s">
        <v>447</v>
      </c>
      <c r="K1093" s="2" t="str">
        <f>J1093*346.59</f>
        <v>0</v>
      </c>
      <c r="L1093" s="5"/>
    </row>
    <row r="1094" spans="1:12" customHeight="1" ht="105" outlineLevel="4">
      <c r="A1094" s="1"/>
      <c r="B1094" s="1">
        <v>811278</v>
      </c>
      <c r="C1094" s="1" t="s">
        <v>3462</v>
      </c>
      <c r="D1094" s="1" t="s">
        <v>3463</v>
      </c>
      <c r="E1094" s="2" t="s">
        <v>3464</v>
      </c>
      <c r="F1094" s="2" t="s">
        <v>3465</v>
      </c>
      <c r="G1094" s="2" t="s">
        <v>153</v>
      </c>
      <c r="H1094" s="2">
        <v>0</v>
      </c>
      <c r="I1094" s="1">
        <v>0</v>
      </c>
      <c r="J1094" s="3" t="s">
        <v>447</v>
      </c>
      <c r="K1094" s="2" t="str">
        <f>J1094*605.41</f>
        <v>0</v>
      </c>
      <c r="L1094" s="5"/>
    </row>
    <row r="1095" spans="1:12" customHeight="1" ht="105" outlineLevel="4">
      <c r="A1095" s="1"/>
      <c r="B1095" s="1">
        <v>811285</v>
      </c>
      <c r="C1095" s="1" t="s">
        <v>3466</v>
      </c>
      <c r="D1095" s="1" t="s">
        <v>3467</v>
      </c>
      <c r="E1095" s="2" t="s">
        <v>3468</v>
      </c>
      <c r="F1095" s="2" t="s">
        <v>3469</v>
      </c>
      <c r="G1095" s="2" t="s">
        <v>152</v>
      </c>
      <c r="H1095" s="2">
        <v>0</v>
      </c>
      <c r="I1095" s="1">
        <v>0</v>
      </c>
      <c r="J1095" s="3" t="s">
        <v>447</v>
      </c>
      <c r="K1095" s="2" t="str">
        <f>J1095*209.74</f>
        <v>0</v>
      </c>
      <c r="L1095" s="5"/>
    </row>
    <row r="1096" spans="1:12" customHeight="1" ht="105" outlineLevel="4">
      <c r="A1096" s="1"/>
      <c r="B1096" s="1">
        <v>811286</v>
      </c>
      <c r="C1096" s="1" t="s">
        <v>3470</v>
      </c>
      <c r="D1096" s="1" t="s">
        <v>3471</v>
      </c>
      <c r="E1096" s="2" t="s">
        <v>3472</v>
      </c>
      <c r="F1096" s="2" t="s">
        <v>3473</v>
      </c>
      <c r="G1096" s="2" t="s">
        <v>152</v>
      </c>
      <c r="H1096" s="2">
        <v>0</v>
      </c>
      <c r="I1096" s="1">
        <v>0</v>
      </c>
      <c r="J1096" s="3" t="s">
        <v>447</v>
      </c>
      <c r="K1096" s="2" t="str">
        <f>J1096*251.39</f>
        <v>0</v>
      </c>
      <c r="L1096" s="5"/>
    </row>
    <row r="1097" spans="1:12" customHeight="1" ht="105" outlineLevel="4">
      <c r="A1097" s="1"/>
      <c r="B1097" s="1">
        <v>811287</v>
      </c>
      <c r="C1097" s="1" t="s">
        <v>3474</v>
      </c>
      <c r="D1097" s="1" t="s">
        <v>3475</v>
      </c>
      <c r="E1097" s="2" t="s">
        <v>3476</v>
      </c>
      <c r="F1097" s="2" t="s">
        <v>3469</v>
      </c>
      <c r="G1097" s="2" t="s">
        <v>74</v>
      </c>
      <c r="H1097" s="2">
        <v>0</v>
      </c>
      <c r="I1097" s="1">
        <v>0</v>
      </c>
      <c r="J1097" s="3" t="s">
        <v>447</v>
      </c>
      <c r="K1097" s="2" t="str">
        <f>J1097*209.74</f>
        <v>0</v>
      </c>
      <c r="L1097" s="5"/>
    </row>
    <row r="1098" spans="1:12" customHeight="1" ht="105" outlineLevel="4">
      <c r="A1098" s="1"/>
      <c r="B1098" s="1">
        <v>811288</v>
      </c>
      <c r="C1098" s="1" t="s">
        <v>3477</v>
      </c>
      <c r="D1098" s="1" t="s">
        <v>3478</v>
      </c>
      <c r="E1098" s="2" t="s">
        <v>3479</v>
      </c>
      <c r="F1098" s="2" t="s">
        <v>3473</v>
      </c>
      <c r="G1098" s="2">
        <v>0</v>
      </c>
      <c r="H1098" s="2">
        <v>0</v>
      </c>
      <c r="I1098" s="1">
        <v>0</v>
      </c>
      <c r="J1098" s="3" t="s">
        <v>447</v>
      </c>
      <c r="K1098" s="2" t="str">
        <f>J1098*251.39</f>
        <v>0</v>
      </c>
      <c r="L1098" s="5"/>
    </row>
    <row r="1099" spans="1:12" customHeight="1" ht="105" outlineLevel="4">
      <c r="A1099" s="1"/>
      <c r="B1099" s="1">
        <v>832786</v>
      </c>
      <c r="C1099" s="1" t="s">
        <v>3480</v>
      </c>
      <c r="D1099" s="1" t="s">
        <v>3481</v>
      </c>
      <c r="E1099" s="2" t="s">
        <v>3482</v>
      </c>
      <c r="F1099" s="2" t="s">
        <v>3483</v>
      </c>
      <c r="G1099" s="2" t="s">
        <v>58</v>
      </c>
      <c r="H1099" s="2">
        <v>0</v>
      </c>
      <c r="I1099" s="1">
        <v>0</v>
      </c>
      <c r="J1099" s="3" t="s">
        <v>447</v>
      </c>
      <c r="K1099" s="2" t="str">
        <f>J1099*145.78</f>
        <v>0</v>
      </c>
      <c r="L1099" s="5"/>
    </row>
    <row r="1100" spans="1:12" customHeight="1" ht="105" outlineLevel="4">
      <c r="A1100" s="1"/>
      <c r="B1100" s="1">
        <v>832787</v>
      </c>
      <c r="C1100" s="1" t="s">
        <v>3484</v>
      </c>
      <c r="D1100" s="1" t="s">
        <v>3485</v>
      </c>
      <c r="E1100" s="2" t="s">
        <v>3486</v>
      </c>
      <c r="F1100" s="2" t="s">
        <v>3487</v>
      </c>
      <c r="G1100" s="2" t="s">
        <v>152</v>
      </c>
      <c r="H1100" s="2">
        <v>0</v>
      </c>
      <c r="I1100" s="1">
        <v>0</v>
      </c>
      <c r="J1100" s="3" t="s">
        <v>447</v>
      </c>
      <c r="K1100" s="2" t="str">
        <f>J1100*168.09</f>
        <v>0</v>
      </c>
      <c r="L1100" s="5"/>
    </row>
    <row r="1101" spans="1:12" customHeight="1" ht="105" outlineLevel="4">
      <c r="A1101" s="1"/>
      <c r="B1101" s="1">
        <v>832788</v>
      </c>
      <c r="C1101" s="1" t="s">
        <v>3488</v>
      </c>
      <c r="D1101" s="1" t="s">
        <v>3489</v>
      </c>
      <c r="E1101" s="2" t="s">
        <v>3490</v>
      </c>
      <c r="F1101" s="2" t="s">
        <v>3491</v>
      </c>
      <c r="G1101" s="2" t="s">
        <v>152</v>
      </c>
      <c r="H1101" s="2">
        <v>0</v>
      </c>
      <c r="I1101" s="1">
        <v>0</v>
      </c>
      <c r="J1101" s="3" t="s">
        <v>447</v>
      </c>
      <c r="K1101" s="2" t="str">
        <f>J1101*229.08</f>
        <v>0</v>
      </c>
      <c r="L1101" s="5"/>
    </row>
    <row r="1102" spans="1:12" customHeight="1" ht="105" outlineLevel="4">
      <c r="A1102" s="1"/>
      <c r="B1102" s="1">
        <v>832789</v>
      </c>
      <c r="C1102" s="1" t="s">
        <v>3492</v>
      </c>
      <c r="D1102" s="1" t="s">
        <v>3493</v>
      </c>
      <c r="E1102" s="2" t="s">
        <v>3494</v>
      </c>
      <c r="F1102" s="2" t="s">
        <v>3495</v>
      </c>
      <c r="G1102" s="2" t="s">
        <v>58</v>
      </c>
      <c r="H1102" s="2">
        <v>0</v>
      </c>
      <c r="I1102" s="1">
        <v>0</v>
      </c>
      <c r="J1102" s="3" t="s">
        <v>447</v>
      </c>
      <c r="K1102" s="2" t="str">
        <f>J1102*169.58</f>
        <v>0</v>
      </c>
      <c r="L1102" s="5"/>
    </row>
    <row r="1103" spans="1:12" customHeight="1" ht="105" outlineLevel="4">
      <c r="A1103" s="1"/>
      <c r="B1103" s="1">
        <v>889291</v>
      </c>
      <c r="C1103" s="1" t="s">
        <v>3496</v>
      </c>
      <c r="D1103" s="1" t="s">
        <v>3497</v>
      </c>
      <c r="E1103" s="2" t="s">
        <v>3498</v>
      </c>
      <c r="F1103" s="2" t="s">
        <v>3491</v>
      </c>
      <c r="G1103" s="2" t="s">
        <v>74</v>
      </c>
      <c r="H1103" s="2">
        <v>0</v>
      </c>
      <c r="I1103" s="1">
        <v>0</v>
      </c>
      <c r="J1103" s="3" t="s">
        <v>447</v>
      </c>
      <c r="K1103" s="2" t="str">
        <f>J1103*229.08</f>
        <v>0</v>
      </c>
      <c r="L1103" s="5"/>
    </row>
    <row r="1104" spans="1:12" customHeight="1" ht="105" outlineLevel="4">
      <c r="A1104" s="1"/>
      <c r="B1104" s="1">
        <v>832791</v>
      </c>
      <c r="C1104" s="1" t="s">
        <v>3499</v>
      </c>
      <c r="D1104" s="1" t="s">
        <v>3500</v>
      </c>
      <c r="E1104" s="2" t="s">
        <v>3501</v>
      </c>
      <c r="F1104" s="2" t="s">
        <v>3502</v>
      </c>
      <c r="G1104" s="2" t="s">
        <v>152</v>
      </c>
      <c r="H1104" s="2">
        <v>0</v>
      </c>
      <c r="I1104" s="1">
        <v>0</v>
      </c>
      <c r="J1104" s="3" t="s">
        <v>447</v>
      </c>
      <c r="K1104" s="2" t="str">
        <f>J1104*255.85</f>
        <v>0</v>
      </c>
      <c r="L1104" s="5"/>
    </row>
    <row r="1105" spans="1:12" customHeight="1" ht="105" outlineLevel="4">
      <c r="A1105" s="1"/>
      <c r="B1105" s="1">
        <v>889292</v>
      </c>
      <c r="C1105" s="1" t="s">
        <v>3503</v>
      </c>
      <c r="D1105" s="1" t="s">
        <v>3504</v>
      </c>
      <c r="E1105" s="2" t="s">
        <v>3505</v>
      </c>
      <c r="F1105" s="2" t="s">
        <v>3457</v>
      </c>
      <c r="G1105" s="2">
        <v>10</v>
      </c>
      <c r="H1105" s="2">
        <v>0</v>
      </c>
      <c r="I1105" s="1">
        <v>0</v>
      </c>
      <c r="J1105" s="3" t="s">
        <v>447</v>
      </c>
      <c r="K1105" s="2" t="str">
        <f>J1105*261.80</f>
        <v>0</v>
      </c>
      <c r="L1105" s="5"/>
    </row>
    <row r="1106" spans="1:12" customHeight="1" ht="105" outlineLevel="4">
      <c r="A1106" s="1"/>
      <c r="B1106" s="1">
        <v>832793</v>
      </c>
      <c r="C1106" s="1" t="s">
        <v>3506</v>
      </c>
      <c r="D1106" s="1" t="s">
        <v>3507</v>
      </c>
      <c r="E1106" s="2" t="s">
        <v>3508</v>
      </c>
      <c r="F1106" s="2" t="s">
        <v>3509</v>
      </c>
      <c r="G1106" s="2" t="s">
        <v>74</v>
      </c>
      <c r="H1106" s="2">
        <v>0</v>
      </c>
      <c r="I1106" s="1">
        <v>0</v>
      </c>
      <c r="J1106" s="3" t="s">
        <v>447</v>
      </c>
      <c r="K1106" s="2" t="str">
        <f>J1106*258.83</f>
        <v>0</v>
      </c>
      <c r="L1106" s="5"/>
    </row>
    <row r="1107" spans="1:12" customHeight="1" ht="105" outlineLevel="4">
      <c r="A1107" s="1"/>
      <c r="B1107" s="1">
        <v>832794</v>
      </c>
      <c r="C1107" s="1" t="s">
        <v>3510</v>
      </c>
      <c r="D1107" s="1" t="s">
        <v>3511</v>
      </c>
      <c r="E1107" s="2" t="s">
        <v>3512</v>
      </c>
      <c r="F1107" s="2" t="s">
        <v>3513</v>
      </c>
      <c r="G1107" s="2" t="s">
        <v>153</v>
      </c>
      <c r="H1107" s="2">
        <v>0</v>
      </c>
      <c r="I1107" s="1">
        <v>0</v>
      </c>
      <c r="J1107" s="3" t="s">
        <v>447</v>
      </c>
      <c r="K1107" s="2" t="str">
        <f>J1107*291.55</f>
        <v>0</v>
      </c>
      <c r="L1107" s="5"/>
    </row>
    <row r="1108" spans="1:12" customHeight="1" ht="105" outlineLevel="4">
      <c r="A1108" s="1"/>
      <c r="B1108" s="1">
        <v>889293</v>
      </c>
      <c r="C1108" s="1" t="s">
        <v>3514</v>
      </c>
      <c r="D1108" s="1" t="s">
        <v>3515</v>
      </c>
      <c r="E1108" s="2" t="s">
        <v>3516</v>
      </c>
      <c r="F1108" s="2" t="s">
        <v>3517</v>
      </c>
      <c r="G1108" s="2">
        <v>3</v>
      </c>
      <c r="H1108" s="2">
        <v>0</v>
      </c>
      <c r="I1108" s="1">
        <v>0</v>
      </c>
      <c r="J1108" s="3" t="s">
        <v>447</v>
      </c>
      <c r="K1108" s="2" t="str">
        <f>J1108*422.45</f>
        <v>0</v>
      </c>
      <c r="L1108" s="5"/>
    </row>
    <row r="1109" spans="1:12" customHeight="1" ht="105" outlineLevel="4">
      <c r="A1109" s="1"/>
      <c r="B1109" s="1">
        <v>889294</v>
      </c>
      <c r="C1109" s="1" t="s">
        <v>3518</v>
      </c>
      <c r="D1109" s="1" t="s">
        <v>3519</v>
      </c>
      <c r="E1109" s="2" t="s">
        <v>3520</v>
      </c>
      <c r="F1109" s="2" t="s">
        <v>3521</v>
      </c>
      <c r="G1109" s="2">
        <v>10</v>
      </c>
      <c r="H1109" s="2">
        <v>0</v>
      </c>
      <c r="I1109" s="1">
        <v>0</v>
      </c>
      <c r="J1109" s="3" t="s">
        <v>447</v>
      </c>
      <c r="K1109" s="2" t="str">
        <f>J1109*486.41</f>
        <v>0</v>
      </c>
      <c r="L1109" s="5"/>
    </row>
    <row r="1110" spans="1:12" customHeight="1" ht="105" outlineLevel="4">
      <c r="A1110" s="1"/>
      <c r="B1110" s="1">
        <v>889295</v>
      </c>
      <c r="C1110" s="1" t="s">
        <v>3522</v>
      </c>
      <c r="D1110" s="1" t="s">
        <v>3523</v>
      </c>
      <c r="E1110" s="2" t="s">
        <v>3524</v>
      </c>
      <c r="F1110" s="2" t="s">
        <v>3525</v>
      </c>
      <c r="G1110" s="2" t="s">
        <v>153</v>
      </c>
      <c r="H1110" s="2">
        <v>0</v>
      </c>
      <c r="I1110" s="1">
        <v>0</v>
      </c>
      <c r="J1110" s="3" t="s">
        <v>447</v>
      </c>
      <c r="K1110" s="2" t="str">
        <f>J1110*657.48</f>
        <v>0</v>
      </c>
      <c r="L1110" s="5"/>
    </row>
    <row r="1111" spans="1:12" customHeight="1" ht="105" outlineLevel="4">
      <c r="A1111" s="1"/>
      <c r="B1111" s="1">
        <v>889296</v>
      </c>
      <c r="C1111" s="1" t="s">
        <v>3526</v>
      </c>
      <c r="D1111" s="1" t="s">
        <v>3527</v>
      </c>
      <c r="E1111" s="2" t="s">
        <v>3528</v>
      </c>
      <c r="F1111" s="2" t="s">
        <v>3529</v>
      </c>
      <c r="G1111" s="2" t="s">
        <v>152</v>
      </c>
      <c r="H1111" s="2">
        <v>0</v>
      </c>
      <c r="I1111" s="1">
        <v>0</v>
      </c>
      <c r="J1111" s="3" t="s">
        <v>447</v>
      </c>
      <c r="K1111" s="2" t="str">
        <f>J1111*1008.53</f>
        <v>0</v>
      </c>
      <c r="L1111" s="5"/>
    </row>
    <row r="1112" spans="1:12" customHeight="1" ht="105" outlineLevel="4">
      <c r="A1112" s="1"/>
      <c r="B1112" s="1">
        <v>832799</v>
      </c>
      <c r="C1112" s="1" t="s">
        <v>3530</v>
      </c>
      <c r="D1112" s="1" t="s">
        <v>3531</v>
      </c>
      <c r="E1112" s="2" t="s">
        <v>3532</v>
      </c>
      <c r="F1112" s="2" t="s">
        <v>3533</v>
      </c>
      <c r="G1112" s="2" t="s">
        <v>74</v>
      </c>
      <c r="H1112" s="2">
        <v>0</v>
      </c>
      <c r="I1112" s="1">
        <v>0</v>
      </c>
      <c r="J1112" s="3" t="s">
        <v>447</v>
      </c>
      <c r="K1112" s="2" t="str">
        <f>J1112*133.88</f>
        <v>0</v>
      </c>
      <c r="L1112" s="5"/>
    </row>
    <row r="1113" spans="1:12" customHeight="1" ht="105" outlineLevel="4">
      <c r="A1113" s="1"/>
      <c r="B1113" s="1">
        <v>832800</v>
      </c>
      <c r="C1113" s="1" t="s">
        <v>3534</v>
      </c>
      <c r="D1113" s="1" t="s">
        <v>3535</v>
      </c>
      <c r="E1113" s="2" t="s">
        <v>3536</v>
      </c>
      <c r="F1113" s="2" t="s">
        <v>3537</v>
      </c>
      <c r="G1113" s="2" t="s">
        <v>152</v>
      </c>
      <c r="H1113" s="2">
        <v>0</v>
      </c>
      <c r="I1113" s="1">
        <v>0</v>
      </c>
      <c r="J1113" s="3" t="s">
        <v>447</v>
      </c>
      <c r="K1113" s="2" t="str">
        <f>J1113*185.94</f>
        <v>0</v>
      </c>
      <c r="L1113" s="5"/>
    </row>
    <row r="1114" spans="1:12" customHeight="1" ht="105" outlineLevel="4">
      <c r="A1114" s="1"/>
      <c r="B1114" s="1">
        <v>832801</v>
      </c>
      <c r="C1114" s="1" t="s">
        <v>3538</v>
      </c>
      <c r="D1114" s="1" t="s">
        <v>3539</v>
      </c>
      <c r="E1114" s="2" t="s">
        <v>3540</v>
      </c>
      <c r="F1114" s="2" t="s">
        <v>3541</v>
      </c>
      <c r="G1114" s="2" t="s">
        <v>152</v>
      </c>
      <c r="H1114" s="2">
        <v>0</v>
      </c>
      <c r="I1114" s="1">
        <v>0</v>
      </c>
      <c r="J1114" s="3" t="s">
        <v>447</v>
      </c>
      <c r="K1114" s="2" t="str">
        <f>J1114*233.54</f>
        <v>0</v>
      </c>
      <c r="L1114" s="5"/>
    </row>
    <row r="1115" spans="1:12" customHeight="1" ht="105" outlineLevel="4">
      <c r="A1115" s="1"/>
      <c r="B1115" s="1">
        <v>832802</v>
      </c>
      <c r="C1115" s="1" t="s">
        <v>3542</v>
      </c>
      <c r="D1115" s="1" t="s">
        <v>3543</v>
      </c>
      <c r="E1115" s="2" t="s">
        <v>3544</v>
      </c>
      <c r="F1115" s="2" t="s">
        <v>3545</v>
      </c>
      <c r="G1115" s="2">
        <v>10</v>
      </c>
      <c r="H1115" s="2">
        <v>0</v>
      </c>
      <c r="I1115" s="1">
        <v>0</v>
      </c>
      <c r="J1115" s="3" t="s">
        <v>447</v>
      </c>
      <c r="K1115" s="2" t="str">
        <f>J1115*177.01</f>
        <v>0</v>
      </c>
      <c r="L1115" s="5"/>
    </row>
    <row r="1116" spans="1:12" customHeight="1" ht="105" outlineLevel="4">
      <c r="A1116" s="1"/>
      <c r="B1116" s="1">
        <v>832803</v>
      </c>
      <c r="C1116" s="1" t="s">
        <v>3546</v>
      </c>
      <c r="D1116" s="1" t="s">
        <v>3547</v>
      </c>
      <c r="E1116" s="2" t="s">
        <v>3548</v>
      </c>
      <c r="F1116" s="2" t="s">
        <v>3549</v>
      </c>
      <c r="G1116" s="2" t="s">
        <v>152</v>
      </c>
      <c r="H1116" s="2">
        <v>0</v>
      </c>
      <c r="I1116" s="1">
        <v>0</v>
      </c>
      <c r="J1116" s="3" t="s">
        <v>447</v>
      </c>
      <c r="K1116" s="2" t="str">
        <f>J1116*249.90</f>
        <v>0</v>
      </c>
      <c r="L1116" s="5"/>
    </row>
    <row r="1117" spans="1:12" customHeight="1" ht="105" outlineLevel="4">
      <c r="A1117" s="1"/>
      <c r="B1117" s="1">
        <v>832804</v>
      </c>
      <c r="C1117" s="1" t="s">
        <v>3550</v>
      </c>
      <c r="D1117" s="1" t="s">
        <v>3551</v>
      </c>
      <c r="E1117" s="2" t="s">
        <v>3552</v>
      </c>
      <c r="F1117" s="2" t="s">
        <v>3553</v>
      </c>
      <c r="G1117" s="2" t="s">
        <v>152</v>
      </c>
      <c r="H1117" s="2">
        <v>0</v>
      </c>
      <c r="I1117" s="1">
        <v>0</v>
      </c>
      <c r="J1117" s="3" t="s">
        <v>447</v>
      </c>
      <c r="K1117" s="2" t="str">
        <f>J1117*264.78</f>
        <v>0</v>
      </c>
      <c r="L1117" s="5"/>
    </row>
    <row r="1118" spans="1:12" customHeight="1" ht="105" outlineLevel="4">
      <c r="A1118" s="1"/>
      <c r="B1118" s="1">
        <v>889297</v>
      </c>
      <c r="C1118" s="1" t="s">
        <v>3554</v>
      </c>
      <c r="D1118" s="1" t="s">
        <v>3555</v>
      </c>
      <c r="E1118" s="2" t="s">
        <v>3556</v>
      </c>
      <c r="F1118" s="2" t="s">
        <v>3557</v>
      </c>
      <c r="G1118" s="2" t="s">
        <v>153</v>
      </c>
      <c r="H1118" s="2">
        <v>0</v>
      </c>
      <c r="I1118" s="1">
        <v>0</v>
      </c>
      <c r="J1118" s="3" t="s">
        <v>447</v>
      </c>
      <c r="K1118" s="2" t="str">
        <f>J1118*300.48</f>
        <v>0</v>
      </c>
      <c r="L1118" s="5"/>
    </row>
    <row r="1119" spans="1:12" customHeight="1" ht="105" outlineLevel="4">
      <c r="A1119" s="1"/>
      <c r="B1119" s="1">
        <v>832806</v>
      </c>
      <c r="C1119" s="1" t="s">
        <v>3558</v>
      </c>
      <c r="D1119" s="1" t="s">
        <v>3559</v>
      </c>
      <c r="E1119" s="2" t="s">
        <v>3560</v>
      </c>
      <c r="F1119" s="2" t="s">
        <v>3553</v>
      </c>
      <c r="G1119" s="2" t="s">
        <v>74</v>
      </c>
      <c r="H1119" s="2">
        <v>0</v>
      </c>
      <c r="I1119" s="1">
        <v>0</v>
      </c>
      <c r="J1119" s="3" t="s">
        <v>447</v>
      </c>
      <c r="K1119" s="2" t="str">
        <f>J1119*264.78</f>
        <v>0</v>
      </c>
      <c r="L1119" s="5"/>
    </row>
    <row r="1120" spans="1:12" customHeight="1" ht="105" outlineLevel="4">
      <c r="A1120" s="1"/>
      <c r="B1120" s="1">
        <v>889298</v>
      </c>
      <c r="C1120" s="1" t="s">
        <v>3561</v>
      </c>
      <c r="D1120" s="1" t="s">
        <v>3562</v>
      </c>
      <c r="E1120" s="2" t="s">
        <v>3563</v>
      </c>
      <c r="F1120" s="2" t="s">
        <v>3564</v>
      </c>
      <c r="G1120" s="2" t="s">
        <v>153</v>
      </c>
      <c r="H1120" s="2">
        <v>0</v>
      </c>
      <c r="I1120" s="1">
        <v>0</v>
      </c>
      <c r="J1120" s="3" t="s">
        <v>447</v>
      </c>
      <c r="K1120" s="2" t="str">
        <f>J1120*401.63</f>
        <v>0</v>
      </c>
      <c r="L1120" s="5"/>
    </row>
    <row r="1121" spans="1:12" customHeight="1" ht="105" outlineLevel="4">
      <c r="A1121" s="1"/>
      <c r="B1121" s="1">
        <v>889299</v>
      </c>
      <c r="C1121" s="1" t="s">
        <v>3565</v>
      </c>
      <c r="D1121" s="1" t="s">
        <v>3566</v>
      </c>
      <c r="E1121" s="2" t="s">
        <v>3567</v>
      </c>
      <c r="F1121" s="2" t="s">
        <v>3568</v>
      </c>
      <c r="G1121" s="2" t="s">
        <v>153</v>
      </c>
      <c r="H1121" s="2">
        <v>0</v>
      </c>
      <c r="I1121" s="1">
        <v>0</v>
      </c>
      <c r="J1121" s="3" t="s">
        <v>447</v>
      </c>
      <c r="K1121" s="2" t="str">
        <f>J1121*458.15</f>
        <v>0</v>
      </c>
      <c r="L1121" s="5"/>
    </row>
    <row r="1122" spans="1:12" customHeight="1" ht="105" outlineLevel="4">
      <c r="A1122" s="1"/>
      <c r="B1122" s="1">
        <v>889300</v>
      </c>
      <c r="C1122" s="1" t="s">
        <v>3569</v>
      </c>
      <c r="D1122" s="1" t="s">
        <v>3570</v>
      </c>
      <c r="E1122" s="2" t="s">
        <v>3571</v>
      </c>
      <c r="F1122" s="2" t="s">
        <v>3572</v>
      </c>
      <c r="G1122" s="2">
        <v>7</v>
      </c>
      <c r="H1122" s="2">
        <v>0</v>
      </c>
      <c r="I1122" s="1">
        <v>0</v>
      </c>
      <c r="J1122" s="3" t="s">
        <v>447</v>
      </c>
      <c r="K1122" s="2" t="str">
        <f>J1122*467.08</f>
        <v>0</v>
      </c>
      <c r="L1122" s="5"/>
    </row>
    <row r="1123" spans="1:12" customHeight="1" ht="105" outlineLevel="4">
      <c r="A1123" s="1"/>
      <c r="B1123" s="1">
        <v>889301</v>
      </c>
      <c r="C1123" s="1" t="s">
        <v>3573</v>
      </c>
      <c r="D1123" s="1" t="s">
        <v>3574</v>
      </c>
      <c r="E1123" s="2" t="s">
        <v>3575</v>
      </c>
      <c r="F1123" s="2" t="s">
        <v>3576</v>
      </c>
      <c r="G1123" s="2" t="s">
        <v>153</v>
      </c>
      <c r="H1123" s="2">
        <v>0</v>
      </c>
      <c r="I1123" s="1">
        <v>0</v>
      </c>
      <c r="J1123" s="3" t="s">
        <v>447</v>
      </c>
      <c r="K1123" s="2" t="str">
        <f>J1123*749.70</f>
        <v>0</v>
      </c>
      <c r="L1123" s="5"/>
    </row>
    <row r="1124" spans="1:12" customHeight="1" ht="105" outlineLevel="4">
      <c r="A1124" s="1"/>
      <c r="B1124" s="1">
        <v>889302</v>
      </c>
      <c r="C1124" s="1" t="s">
        <v>3577</v>
      </c>
      <c r="D1124" s="1" t="s">
        <v>3578</v>
      </c>
      <c r="E1124" s="2" t="s">
        <v>3579</v>
      </c>
      <c r="F1124" s="2" t="s">
        <v>3580</v>
      </c>
      <c r="G1124" s="2" t="s">
        <v>152</v>
      </c>
      <c r="H1124" s="2">
        <v>0</v>
      </c>
      <c r="I1124" s="1">
        <v>0</v>
      </c>
      <c r="J1124" s="3" t="s">
        <v>447</v>
      </c>
      <c r="K1124" s="2" t="str">
        <f>J1124*1127.53</f>
        <v>0</v>
      </c>
      <c r="L1124" s="5"/>
    </row>
    <row r="1125" spans="1:12" customHeight="1" ht="105" outlineLevel="4">
      <c r="A1125" s="1"/>
      <c r="B1125" s="1">
        <v>832812</v>
      </c>
      <c r="C1125" s="1" t="s">
        <v>3581</v>
      </c>
      <c r="D1125" s="1" t="s">
        <v>3582</v>
      </c>
      <c r="E1125" s="2" t="s">
        <v>3583</v>
      </c>
      <c r="F1125" s="2" t="s">
        <v>3584</v>
      </c>
      <c r="G1125" s="2" t="s">
        <v>152</v>
      </c>
      <c r="H1125" s="2">
        <v>0</v>
      </c>
      <c r="I1125" s="1">
        <v>0</v>
      </c>
      <c r="J1125" s="3" t="s">
        <v>447</v>
      </c>
      <c r="K1125" s="2" t="str">
        <f>J1125*142.80</f>
        <v>0</v>
      </c>
      <c r="L1125" s="5"/>
    </row>
    <row r="1126" spans="1:12" customHeight="1" ht="105" outlineLevel="4">
      <c r="A1126" s="1"/>
      <c r="B1126" s="1">
        <v>882170</v>
      </c>
      <c r="C1126" s="1" t="s">
        <v>3585</v>
      </c>
      <c r="D1126" s="1" t="s">
        <v>3586</v>
      </c>
      <c r="E1126" s="2" t="s">
        <v>3587</v>
      </c>
      <c r="F1126" s="2" t="s">
        <v>3469</v>
      </c>
      <c r="G1126" s="2">
        <v>1</v>
      </c>
      <c r="H1126" s="2">
        <v>0</v>
      </c>
      <c r="I1126" s="1">
        <v>0</v>
      </c>
      <c r="J1126" s="3" t="s">
        <v>447</v>
      </c>
      <c r="K1126" s="2" t="str">
        <f>J1126*209.74</f>
        <v>0</v>
      </c>
      <c r="L1126" s="5"/>
    </row>
    <row r="1127" spans="1:12" customHeight="1" ht="105" outlineLevel="4">
      <c r="A1127" s="1"/>
      <c r="B1127" s="1">
        <v>832814</v>
      </c>
      <c r="C1127" s="1" t="s">
        <v>3588</v>
      </c>
      <c r="D1127" s="1" t="s">
        <v>3589</v>
      </c>
      <c r="E1127" s="2" t="s">
        <v>3590</v>
      </c>
      <c r="F1127" s="2" t="s">
        <v>3591</v>
      </c>
      <c r="G1127" s="2" t="s">
        <v>153</v>
      </c>
      <c r="H1127" s="2">
        <v>0</v>
      </c>
      <c r="I1127" s="1">
        <v>0</v>
      </c>
      <c r="J1127" s="3" t="s">
        <v>447</v>
      </c>
      <c r="K1127" s="2" t="str">
        <f>J1127*316.84</f>
        <v>0</v>
      </c>
      <c r="L1127" s="5"/>
    </row>
    <row r="1128" spans="1:12" customHeight="1" ht="105" outlineLevel="4">
      <c r="A1128" s="1"/>
      <c r="B1128" s="1">
        <v>832815</v>
      </c>
      <c r="C1128" s="1" t="s">
        <v>3592</v>
      </c>
      <c r="D1128" s="1" t="s">
        <v>3593</v>
      </c>
      <c r="E1128" s="2" t="s">
        <v>3594</v>
      </c>
      <c r="F1128" s="2" t="s">
        <v>3595</v>
      </c>
      <c r="G1128" s="2" t="s">
        <v>74</v>
      </c>
      <c r="H1128" s="2">
        <v>0</v>
      </c>
      <c r="I1128" s="1">
        <v>0</v>
      </c>
      <c r="J1128" s="3" t="s">
        <v>447</v>
      </c>
      <c r="K1128" s="2" t="str">
        <f>J1128*77.35</f>
        <v>0</v>
      </c>
      <c r="L1128" s="5"/>
    </row>
    <row r="1129" spans="1:12" customHeight="1" ht="105" outlineLevel="4">
      <c r="A1129" s="1"/>
      <c r="B1129" s="1">
        <v>832816</v>
      </c>
      <c r="C1129" s="1" t="s">
        <v>3596</v>
      </c>
      <c r="D1129" s="1" t="s">
        <v>3597</v>
      </c>
      <c r="E1129" s="2" t="s">
        <v>3598</v>
      </c>
      <c r="F1129" s="2" t="s">
        <v>3599</v>
      </c>
      <c r="G1129" s="2" t="s">
        <v>152</v>
      </c>
      <c r="H1129" s="2">
        <v>0</v>
      </c>
      <c r="I1129" s="1">
        <v>0</v>
      </c>
      <c r="J1129" s="3" t="s">
        <v>447</v>
      </c>
      <c r="K1129" s="2" t="str">
        <f>J1129*92.23</f>
        <v>0</v>
      </c>
      <c r="L1129" s="5"/>
    </row>
    <row r="1130" spans="1:12" customHeight="1" ht="105" outlineLevel="4">
      <c r="A1130" s="1"/>
      <c r="B1130" s="1">
        <v>832817</v>
      </c>
      <c r="C1130" s="1" t="s">
        <v>3600</v>
      </c>
      <c r="D1130" s="1" t="s">
        <v>3601</v>
      </c>
      <c r="E1130" s="2" t="s">
        <v>3602</v>
      </c>
      <c r="F1130" s="2" t="s">
        <v>3595</v>
      </c>
      <c r="G1130" s="2" t="s">
        <v>152</v>
      </c>
      <c r="H1130" s="2">
        <v>0</v>
      </c>
      <c r="I1130" s="1">
        <v>0</v>
      </c>
      <c r="J1130" s="3" t="s">
        <v>447</v>
      </c>
      <c r="K1130" s="2" t="str">
        <f>J1130*77.35</f>
        <v>0</v>
      </c>
      <c r="L1130" s="5"/>
    </row>
    <row r="1131" spans="1:12" customHeight="1" ht="105" outlineLevel="4">
      <c r="A1131" s="1"/>
      <c r="B1131" s="1">
        <v>832818</v>
      </c>
      <c r="C1131" s="1" t="s">
        <v>3603</v>
      </c>
      <c r="D1131" s="1" t="s">
        <v>3604</v>
      </c>
      <c r="E1131" s="2" t="s">
        <v>3605</v>
      </c>
      <c r="F1131" s="2" t="s">
        <v>3606</v>
      </c>
      <c r="G1131" s="2" t="s">
        <v>153</v>
      </c>
      <c r="H1131" s="2">
        <v>0</v>
      </c>
      <c r="I1131" s="1" t="s">
        <v>153</v>
      </c>
      <c r="J1131" s="3" t="s">
        <v>447</v>
      </c>
      <c r="K1131" s="2" t="str">
        <f>J1131*96.69</f>
        <v>0</v>
      </c>
      <c r="L1131" s="5"/>
    </row>
    <row r="1132" spans="1:12" customHeight="1" ht="105" outlineLevel="4">
      <c r="A1132" s="1"/>
      <c r="B1132" s="1">
        <v>832819</v>
      </c>
      <c r="C1132" s="1" t="s">
        <v>3607</v>
      </c>
      <c r="D1132" s="1" t="s">
        <v>3608</v>
      </c>
      <c r="E1132" s="2" t="s">
        <v>3609</v>
      </c>
      <c r="F1132" s="2" t="s">
        <v>3610</v>
      </c>
      <c r="G1132" s="2">
        <v>10</v>
      </c>
      <c r="H1132" s="2">
        <v>0</v>
      </c>
      <c r="I1132" s="1">
        <v>0</v>
      </c>
      <c r="J1132" s="3" t="s">
        <v>447</v>
      </c>
      <c r="K1132" s="2" t="str">
        <f>J1132*206.76</f>
        <v>0</v>
      </c>
      <c r="L1132" s="5"/>
    </row>
    <row r="1133" spans="1:12" customHeight="1" ht="105" outlineLevel="4">
      <c r="A1133" s="1"/>
      <c r="B1133" s="1">
        <v>832820</v>
      </c>
      <c r="C1133" s="1" t="s">
        <v>3611</v>
      </c>
      <c r="D1133" s="1" t="s">
        <v>3612</v>
      </c>
      <c r="E1133" s="2" t="s">
        <v>3613</v>
      </c>
      <c r="F1133" s="2" t="s">
        <v>3614</v>
      </c>
      <c r="G1133" s="2" t="s">
        <v>74</v>
      </c>
      <c r="H1133" s="2">
        <v>0</v>
      </c>
      <c r="I1133" s="1">
        <v>0</v>
      </c>
      <c r="J1133" s="3" t="s">
        <v>447</v>
      </c>
      <c r="K1133" s="2" t="str">
        <f>J1133*80.33</f>
        <v>0</v>
      </c>
      <c r="L1133" s="5"/>
    </row>
    <row r="1134" spans="1:12" customHeight="1" ht="105" outlineLevel="4">
      <c r="A1134" s="1"/>
      <c r="B1134" s="1">
        <v>832821</v>
      </c>
      <c r="C1134" s="1" t="s">
        <v>3615</v>
      </c>
      <c r="D1134" s="1" t="s">
        <v>3616</v>
      </c>
      <c r="E1134" s="2" t="s">
        <v>3617</v>
      </c>
      <c r="F1134" s="2" t="s">
        <v>3606</v>
      </c>
      <c r="G1134" s="2" t="s">
        <v>152</v>
      </c>
      <c r="H1134" s="2">
        <v>0</v>
      </c>
      <c r="I1134" s="1">
        <v>0</v>
      </c>
      <c r="J1134" s="3" t="s">
        <v>447</v>
      </c>
      <c r="K1134" s="2" t="str">
        <f>J1134*96.69</f>
        <v>0</v>
      </c>
      <c r="L1134" s="5"/>
    </row>
    <row r="1135" spans="1:12" customHeight="1" ht="105" outlineLevel="4">
      <c r="A1135" s="1"/>
      <c r="B1135" s="1">
        <v>832822</v>
      </c>
      <c r="C1135" s="1" t="s">
        <v>3618</v>
      </c>
      <c r="D1135" s="1" t="s">
        <v>3619</v>
      </c>
      <c r="E1135" s="2" t="s">
        <v>3620</v>
      </c>
      <c r="F1135" s="2" t="s">
        <v>3449</v>
      </c>
      <c r="G1135" s="2" t="s">
        <v>74</v>
      </c>
      <c r="H1135" s="2">
        <v>0</v>
      </c>
      <c r="I1135" s="1">
        <v>0</v>
      </c>
      <c r="J1135" s="3" t="s">
        <v>447</v>
      </c>
      <c r="K1135" s="2" t="str">
        <f>J1135*89.25</f>
        <v>0</v>
      </c>
      <c r="L1135" s="5"/>
    </row>
    <row r="1136" spans="1:12" customHeight="1" ht="105" outlineLevel="4">
      <c r="A1136" s="1"/>
      <c r="B1136" s="1">
        <v>832823</v>
      </c>
      <c r="C1136" s="1" t="s">
        <v>3621</v>
      </c>
      <c r="D1136" s="1" t="s">
        <v>3622</v>
      </c>
      <c r="E1136" s="2" t="s">
        <v>3623</v>
      </c>
      <c r="F1136" s="2" t="s">
        <v>3624</v>
      </c>
      <c r="G1136" s="2" t="s">
        <v>152</v>
      </c>
      <c r="H1136" s="2">
        <v>0</v>
      </c>
      <c r="I1136" s="1">
        <v>0</v>
      </c>
      <c r="J1136" s="3" t="s">
        <v>447</v>
      </c>
      <c r="K1136" s="2" t="str">
        <f>J1136*107.10</f>
        <v>0</v>
      </c>
      <c r="L1136" s="5"/>
    </row>
    <row r="1137" spans="1:12" customHeight="1" ht="105" outlineLevel="4">
      <c r="A1137" s="1"/>
      <c r="B1137" s="1">
        <v>930293</v>
      </c>
      <c r="C1137" s="1" t="s">
        <v>3625</v>
      </c>
      <c r="D1137" s="1"/>
      <c r="E1137" s="2" t="s">
        <v>3626</v>
      </c>
      <c r="F1137" s="2" t="s">
        <v>3627</v>
      </c>
      <c r="G1137" s="2" t="s">
        <v>58</v>
      </c>
      <c r="H1137" s="2">
        <v>0</v>
      </c>
      <c r="I1137" s="1">
        <v>0</v>
      </c>
      <c r="J1137" s="3" t="s">
        <v>447</v>
      </c>
      <c r="K1137" s="2" t="str">
        <f>J1137*22.39</f>
        <v>0</v>
      </c>
      <c r="L1137" s="5"/>
    </row>
    <row r="1138" spans="1:12" customHeight="1" ht="105" outlineLevel="4">
      <c r="A1138" s="1"/>
      <c r="B1138" s="1">
        <v>930294</v>
      </c>
      <c r="C1138" s="1" t="s">
        <v>3628</v>
      </c>
      <c r="D1138" s="1"/>
      <c r="E1138" s="2" t="s">
        <v>3629</v>
      </c>
      <c r="F1138" s="2" t="s">
        <v>3627</v>
      </c>
      <c r="G1138" s="2" t="s">
        <v>58</v>
      </c>
      <c r="H1138" s="2">
        <v>0</v>
      </c>
      <c r="I1138" s="1">
        <v>0</v>
      </c>
      <c r="J1138" s="3" t="s">
        <v>447</v>
      </c>
      <c r="K1138" s="2" t="str">
        <f>J1138*22.39</f>
        <v>0</v>
      </c>
      <c r="L1138" s="5"/>
    </row>
    <row r="1139" spans="1:12" customHeight="1" ht="105" outlineLevel="4">
      <c r="A1139" s="1"/>
      <c r="B1139" s="1">
        <v>930237</v>
      </c>
      <c r="C1139" s="1" t="s">
        <v>3630</v>
      </c>
      <c r="D1139" s="1" t="s">
        <v>3631</v>
      </c>
      <c r="E1139" s="2" t="s">
        <v>3632</v>
      </c>
      <c r="F1139" s="2" t="s">
        <v>3633</v>
      </c>
      <c r="G1139" s="2" t="s">
        <v>153</v>
      </c>
      <c r="H1139" s="2">
        <v>0</v>
      </c>
      <c r="I1139" s="1">
        <v>0</v>
      </c>
      <c r="J1139" s="3" t="s">
        <v>447</v>
      </c>
      <c r="K1139" s="2" t="str">
        <f>J1139*441.79</f>
        <v>0</v>
      </c>
      <c r="L1139" s="5"/>
    </row>
    <row r="1140" spans="1:12" customHeight="1" ht="105" outlineLevel="4">
      <c r="A1140" s="1"/>
      <c r="B1140" s="1">
        <v>930238</v>
      </c>
      <c r="C1140" s="1" t="s">
        <v>3634</v>
      </c>
      <c r="D1140" s="1" t="s">
        <v>3635</v>
      </c>
      <c r="E1140" s="2" t="s">
        <v>3636</v>
      </c>
      <c r="F1140" s="2" t="s">
        <v>3637</v>
      </c>
      <c r="G1140" s="2" t="s">
        <v>152</v>
      </c>
      <c r="H1140" s="2">
        <v>0</v>
      </c>
      <c r="I1140" s="1">
        <v>0</v>
      </c>
      <c r="J1140" s="3" t="s">
        <v>447</v>
      </c>
      <c r="K1140" s="2" t="str">
        <f>J1140*828.54</f>
        <v>0</v>
      </c>
      <c r="L1140" s="5"/>
    </row>
    <row r="1141" spans="1:12" customHeight="1" ht="105" outlineLevel="4">
      <c r="A1141" s="1"/>
      <c r="B1141" s="1">
        <v>930239</v>
      </c>
      <c r="C1141" s="1" t="s">
        <v>3638</v>
      </c>
      <c r="D1141" s="1" t="s">
        <v>3639</v>
      </c>
      <c r="E1141" s="2" t="s">
        <v>3640</v>
      </c>
      <c r="F1141" s="2" t="s">
        <v>3641</v>
      </c>
      <c r="G1141" s="2" t="s">
        <v>58</v>
      </c>
      <c r="H1141" s="2">
        <v>0</v>
      </c>
      <c r="I1141" s="1" t="s">
        <v>58</v>
      </c>
      <c r="J1141" s="3" t="s">
        <v>447</v>
      </c>
      <c r="K1141" s="2" t="str">
        <f>J1141*120.49</f>
        <v>0</v>
      </c>
      <c r="L1141" s="5"/>
    </row>
    <row r="1142" spans="1:12" customHeight="1" ht="105" outlineLevel="4">
      <c r="A1142" s="1"/>
      <c r="B1142" s="1">
        <v>930240</v>
      </c>
      <c r="C1142" s="1" t="s">
        <v>3642</v>
      </c>
      <c r="D1142" s="1" t="s">
        <v>3643</v>
      </c>
      <c r="E1142" s="2" t="s">
        <v>3644</v>
      </c>
      <c r="F1142" s="2" t="s">
        <v>3645</v>
      </c>
      <c r="G1142" s="2" t="s">
        <v>58</v>
      </c>
      <c r="H1142" s="2">
        <v>0</v>
      </c>
      <c r="I1142" s="1">
        <v>0</v>
      </c>
      <c r="J1142" s="3" t="s">
        <v>447</v>
      </c>
      <c r="K1142" s="2" t="str">
        <f>J1142*163.63</f>
        <v>0</v>
      </c>
      <c r="L1142" s="5"/>
    </row>
    <row r="1143" spans="1:12" customHeight="1" ht="105" outlineLevel="4">
      <c r="A1143" s="1"/>
      <c r="B1143" s="1">
        <v>930241</v>
      </c>
      <c r="C1143" s="1" t="s">
        <v>3646</v>
      </c>
      <c r="D1143" s="1" t="s">
        <v>3647</v>
      </c>
      <c r="E1143" s="2" t="s">
        <v>3648</v>
      </c>
      <c r="F1143" s="2" t="s">
        <v>3649</v>
      </c>
      <c r="G1143" s="2" t="s">
        <v>74</v>
      </c>
      <c r="H1143" s="2">
        <v>0</v>
      </c>
      <c r="I1143" s="1">
        <v>0</v>
      </c>
      <c r="J1143" s="3" t="s">
        <v>447</v>
      </c>
      <c r="K1143" s="2" t="str">
        <f>J1143*212.71</f>
        <v>0</v>
      </c>
      <c r="L1143" s="5"/>
    </row>
    <row r="1144" spans="1:12" customHeight="1" ht="105" outlineLevel="4">
      <c r="A1144" s="1"/>
      <c r="B1144" s="1">
        <v>930242</v>
      </c>
      <c r="C1144" s="1" t="s">
        <v>3650</v>
      </c>
      <c r="D1144" s="1" t="s">
        <v>3651</v>
      </c>
      <c r="E1144" s="2" t="s">
        <v>3652</v>
      </c>
      <c r="F1144" s="2" t="s">
        <v>3653</v>
      </c>
      <c r="G1144" s="2" t="s">
        <v>152</v>
      </c>
      <c r="H1144" s="2">
        <v>0</v>
      </c>
      <c r="I1144" s="1">
        <v>0</v>
      </c>
      <c r="J1144" s="3" t="s">
        <v>447</v>
      </c>
      <c r="K1144" s="2" t="str">
        <f>J1144*487.90</f>
        <v>0</v>
      </c>
      <c r="L1144" s="5"/>
    </row>
    <row r="1145" spans="1:12" customHeight="1" ht="105" outlineLevel="4">
      <c r="A1145" s="1"/>
      <c r="B1145" s="1">
        <v>930243</v>
      </c>
      <c r="C1145" s="1" t="s">
        <v>3654</v>
      </c>
      <c r="D1145" s="1" t="s">
        <v>3655</v>
      </c>
      <c r="E1145" s="2" t="s">
        <v>3656</v>
      </c>
      <c r="F1145" s="2" t="s">
        <v>3657</v>
      </c>
      <c r="G1145" s="2" t="s">
        <v>152</v>
      </c>
      <c r="H1145" s="2">
        <v>0</v>
      </c>
      <c r="I1145" s="1">
        <v>0</v>
      </c>
      <c r="J1145" s="3" t="s">
        <v>447</v>
      </c>
      <c r="K1145" s="2" t="str">
        <f>J1145*667.89</f>
        <v>0</v>
      </c>
      <c r="L1145" s="5"/>
    </row>
    <row r="1146" spans="1:12" customHeight="1" ht="105" outlineLevel="4">
      <c r="A1146" s="1"/>
      <c r="B1146" s="1">
        <v>930244</v>
      </c>
      <c r="C1146" s="1" t="s">
        <v>3658</v>
      </c>
      <c r="D1146" s="1" t="s">
        <v>3659</v>
      </c>
      <c r="E1146" s="2" t="s">
        <v>3660</v>
      </c>
      <c r="F1146" s="2" t="s">
        <v>3661</v>
      </c>
      <c r="G1146" s="2" t="s">
        <v>152</v>
      </c>
      <c r="H1146" s="2">
        <v>0</v>
      </c>
      <c r="I1146" s="1">
        <v>0</v>
      </c>
      <c r="J1146" s="3" t="s">
        <v>447</v>
      </c>
      <c r="K1146" s="2" t="str">
        <f>J1146*944.56</f>
        <v>0</v>
      </c>
      <c r="L1146" s="5"/>
    </row>
    <row r="1147" spans="1:12" customHeight="1" ht="105" outlineLevel="4">
      <c r="A1147" s="1"/>
      <c r="B1147" s="1">
        <v>930245</v>
      </c>
      <c r="C1147" s="1" t="s">
        <v>3662</v>
      </c>
      <c r="D1147" s="1" t="s">
        <v>3663</v>
      </c>
      <c r="E1147" s="2" t="s">
        <v>3664</v>
      </c>
      <c r="F1147" s="2" t="s">
        <v>3665</v>
      </c>
      <c r="G1147" s="2" t="s">
        <v>152</v>
      </c>
      <c r="H1147" s="2">
        <v>0</v>
      </c>
      <c r="I1147" s="1">
        <v>0</v>
      </c>
      <c r="J1147" s="3" t="s">
        <v>447</v>
      </c>
      <c r="K1147" s="2" t="str">
        <f>J1147*324.28</f>
        <v>0</v>
      </c>
      <c r="L1147" s="5"/>
    </row>
    <row r="1148" spans="1:12" customHeight="1" ht="105" outlineLevel="4">
      <c r="A1148" s="1"/>
      <c r="B1148" s="1">
        <v>930246</v>
      </c>
      <c r="C1148" s="1" t="s">
        <v>3666</v>
      </c>
      <c r="D1148" s="1" t="s">
        <v>3667</v>
      </c>
      <c r="E1148" s="2" t="s">
        <v>3668</v>
      </c>
      <c r="F1148" s="2" t="s">
        <v>3669</v>
      </c>
      <c r="G1148" s="2" t="s">
        <v>152</v>
      </c>
      <c r="H1148" s="2">
        <v>0</v>
      </c>
      <c r="I1148" s="1">
        <v>0</v>
      </c>
      <c r="J1148" s="3" t="s">
        <v>447</v>
      </c>
      <c r="K1148" s="2" t="str">
        <f>J1148*407.58</f>
        <v>0</v>
      </c>
      <c r="L1148" s="5"/>
    </row>
    <row r="1149" spans="1:12" customHeight="1" ht="105" outlineLevel="4">
      <c r="A1149" s="1"/>
      <c r="B1149" s="1">
        <v>930247</v>
      </c>
      <c r="C1149" s="1" t="s">
        <v>3670</v>
      </c>
      <c r="D1149" s="1" t="s">
        <v>3671</v>
      </c>
      <c r="E1149" s="2" t="s">
        <v>3672</v>
      </c>
      <c r="F1149" s="2" t="s">
        <v>3665</v>
      </c>
      <c r="G1149" s="2" t="s">
        <v>152</v>
      </c>
      <c r="H1149" s="2">
        <v>0</v>
      </c>
      <c r="I1149" s="1">
        <v>0</v>
      </c>
      <c r="J1149" s="3" t="s">
        <v>447</v>
      </c>
      <c r="K1149" s="2" t="str">
        <f>J1149*324.28</f>
        <v>0</v>
      </c>
      <c r="L1149" s="5"/>
    </row>
    <row r="1150" spans="1:12" customHeight="1" ht="105" outlineLevel="4">
      <c r="A1150" s="1"/>
      <c r="B1150" s="1">
        <v>930248</v>
      </c>
      <c r="C1150" s="1" t="s">
        <v>3673</v>
      </c>
      <c r="D1150" s="1" t="s">
        <v>3674</v>
      </c>
      <c r="E1150" s="2" t="s">
        <v>3675</v>
      </c>
      <c r="F1150" s="2" t="s">
        <v>3669</v>
      </c>
      <c r="G1150" s="2" t="s">
        <v>152</v>
      </c>
      <c r="H1150" s="2">
        <v>0</v>
      </c>
      <c r="I1150" s="1">
        <v>0</v>
      </c>
      <c r="J1150" s="3" t="s">
        <v>447</v>
      </c>
      <c r="K1150" s="2" t="str">
        <f>J1150*407.58</f>
        <v>0</v>
      </c>
      <c r="L1150" s="5"/>
    </row>
    <row r="1151" spans="1:12" customHeight="1" ht="105" outlineLevel="4">
      <c r="A1151" s="1"/>
      <c r="B1151" s="1">
        <v>930249</v>
      </c>
      <c r="C1151" s="1" t="s">
        <v>3676</v>
      </c>
      <c r="D1151" s="1" t="s">
        <v>3677</v>
      </c>
      <c r="E1151" s="2" t="s">
        <v>3678</v>
      </c>
      <c r="F1151" s="2" t="s">
        <v>3679</v>
      </c>
      <c r="G1151" s="2" t="s">
        <v>74</v>
      </c>
      <c r="H1151" s="2">
        <v>0</v>
      </c>
      <c r="I1151" s="1">
        <v>0</v>
      </c>
      <c r="J1151" s="3" t="s">
        <v>447</v>
      </c>
      <c r="K1151" s="2" t="str">
        <f>J1151*139.83</f>
        <v>0</v>
      </c>
      <c r="L1151" s="5"/>
    </row>
    <row r="1152" spans="1:12" customHeight="1" ht="105" outlineLevel="4">
      <c r="A1152" s="1"/>
      <c r="B1152" s="1">
        <v>930250</v>
      </c>
      <c r="C1152" s="1" t="s">
        <v>3680</v>
      </c>
      <c r="D1152" s="1" t="s">
        <v>3681</v>
      </c>
      <c r="E1152" s="2" t="s">
        <v>3682</v>
      </c>
      <c r="F1152" s="2" t="s">
        <v>3683</v>
      </c>
      <c r="G1152" s="2" t="s">
        <v>153</v>
      </c>
      <c r="H1152" s="2">
        <v>0</v>
      </c>
      <c r="I1152" s="1" t="s">
        <v>153</v>
      </c>
      <c r="J1152" s="3" t="s">
        <v>447</v>
      </c>
      <c r="K1152" s="2" t="str">
        <f>J1152*136.85</f>
        <v>0</v>
      </c>
      <c r="L1152" s="5"/>
    </row>
    <row r="1153" spans="1:12" customHeight="1" ht="105" outlineLevel="4">
      <c r="A1153" s="1"/>
      <c r="B1153" s="1">
        <v>930251</v>
      </c>
      <c r="C1153" s="1" t="s">
        <v>3684</v>
      </c>
      <c r="D1153" s="1" t="s">
        <v>3685</v>
      </c>
      <c r="E1153" s="2" t="s">
        <v>3686</v>
      </c>
      <c r="F1153" s="2" t="s">
        <v>3687</v>
      </c>
      <c r="G1153" s="2" t="s">
        <v>152</v>
      </c>
      <c r="H1153" s="2">
        <v>0</v>
      </c>
      <c r="I1153" s="1">
        <v>0</v>
      </c>
      <c r="J1153" s="3" t="s">
        <v>447</v>
      </c>
      <c r="K1153" s="2" t="str">
        <f>J1153*214.20</f>
        <v>0</v>
      </c>
      <c r="L1153" s="5"/>
    </row>
    <row r="1154" spans="1:12" customHeight="1" ht="105" outlineLevel="4">
      <c r="A1154" s="1"/>
      <c r="B1154" s="1">
        <v>930252</v>
      </c>
      <c r="C1154" s="1" t="s">
        <v>3688</v>
      </c>
      <c r="D1154" s="1" t="s">
        <v>3689</v>
      </c>
      <c r="E1154" s="2" t="s">
        <v>3690</v>
      </c>
      <c r="F1154" s="2" t="s">
        <v>3691</v>
      </c>
      <c r="G1154" s="2" t="s">
        <v>153</v>
      </c>
      <c r="H1154" s="2">
        <v>0</v>
      </c>
      <c r="I1154" s="1">
        <v>0</v>
      </c>
      <c r="J1154" s="3" t="s">
        <v>447</v>
      </c>
      <c r="K1154" s="2" t="str">
        <f>J1154*208.25</f>
        <v>0</v>
      </c>
      <c r="L1154" s="5"/>
    </row>
    <row r="1155" spans="1:12" customHeight="1" ht="105" outlineLevel="4">
      <c r="A1155" s="1"/>
      <c r="B1155" s="1">
        <v>930253</v>
      </c>
      <c r="C1155" s="1" t="s">
        <v>3692</v>
      </c>
      <c r="D1155" s="1" t="s">
        <v>3693</v>
      </c>
      <c r="E1155" s="2" t="s">
        <v>3694</v>
      </c>
      <c r="F1155" s="2" t="s">
        <v>3695</v>
      </c>
      <c r="G1155" s="2" t="s">
        <v>74</v>
      </c>
      <c r="H1155" s="2">
        <v>0</v>
      </c>
      <c r="I1155" s="1">
        <v>0</v>
      </c>
      <c r="J1155" s="3" t="s">
        <v>447</v>
      </c>
      <c r="K1155" s="2" t="str">
        <f>J1155*243.95</f>
        <v>0</v>
      </c>
      <c r="L1155" s="5"/>
    </row>
    <row r="1156" spans="1:12" customHeight="1" ht="105" outlineLevel="4">
      <c r="A1156" s="1"/>
      <c r="B1156" s="1">
        <v>930254</v>
      </c>
      <c r="C1156" s="1" t="s">
        <v>3696</v>
      </c>
      <c r="D1156" s="1" t="s">
        <v>3697</v>
      </c>
      <c r="E1156" s="2" t="s">
        <v>3698</v>
      </c>
      <c r="F1156" s="2" t="s">
        <v>3699</v>
      </c>
      <c r="G1156" s="2" t="s">
        <v>153</v>
      </c>
      <c r="H1156" s="2">
        <v>0</v>
      </c>
      <c r="I1156" s="1">
        <v>0</v>
      </c>
      <c r="J1156" s="3" t="s">
        <v>447</v>
      </c>
      <c r="K1156" s="2" t="str">
        <f>J1156*278.16</f>
        <v>0</v>
      </c>
      <c r="L1156" s="5"/>
    </row>
    <row r="1157" spans="1:12" customHeight="1" ht="105" outlineLevel="4">
      <c r="A1157" s="1"/>
      <c r="B1157" s="1">
        <v>930255</v>
      </c>
      <c r="C1157" s="1" t="s">
        <v>3700</v>
      </c>
      <c r="D1157" s="1" t="s">
        <v>3701</v>
      </c>
      <c r="E1157" s="2" t="s">
        <v>3702</v>
      </c>
      <c r="F1157" s="2" t="s">
        <v>3703</v>
      </c>
      <c r="G1157" s="2">
        <v>0</v>
      </c>
      <c r="H1157" s="2">
        <v>0</v>
      </c>
      <c r="I1157" s="1">
        <v>0</v>
      </c>
      <c r="J1157" s="3" t="s">
        <v>447</v>
      </c>
      <c r="K1157" s="2" t="str">
        <f>J1157*266.26</f>
        <v>0</v>
      </c>
      <c r="L1157" s="5"/>
    </row>
    <row r="1158" spans="1:12" customHeight="1" ht="105" outlineLevel="4">
      <c r="A1158" s="1"/>
      <c r="B1158" s="1">
        <v>930256</v>
      </c>
      <c r="C1158" s="1" t="s">
        <v>3704</v>
      </c>
      <c r="D1158" s="1" t="s">
        <v>3705</v>
      </c>
      <c r="E1158" s="2" t="s">
        <v>3706</v>
      </c>
      <c r="F1158" s="2" t="s">
        <v>3707</v>
      </c>
      <c r="G1158" s="2" t="s">
        <v>152</v>
      </c>
      <c r="H1158" s="2">
        <v>0</v>
      </c>
      <c r="I1158" s="1">
        <v>0</v>
      </c>
      <c r="J1158" s="3" t="s">
        <v>447</v>
      </c>
      <c r="K1158" s="2" t="str">
        <f>J1158*276.68</f>
        <v>0</v>
      </c>
      <c r="L1158" s="5"/>
    </row>
    <row r="1159" spans="1:12" customHeight="1" ht="105" outlineLevel="4">
      <c r="A1159" s="1"/>
      <c r="B1159" s="1">
        <v>930257</v>
      </c>
      <c r="C1159" s="1" t="s">
        <v>3708</v>
      </c>
      <c r="D1159" s="1" t="s">
        <v>3709</v>
      </c>
      <c r="E1159" s="2" t="s">
        <v>3710</v>
      </c>
      <c r="F1159" s="2" t="s">
        <v>3711</v>
      </c>
      <c r="G1159" s="2" t="s">
        <v>153</v>
      </c>
      <c r="H1159" s="2">
        <v>0</v>
      </c>
      <c r="I1159" s="1">
        <v>0</v>
      </c>
      <c r="J1159" s="3" t="s">
        <v>447</v>
      </c>
      <c r="K1159" s="2" t="str">
        <f>J1159*339.15</f>
        <v>0</v>
      </c>
      <c r="L1159" s="5"/>
    </row>
    <row r="1160" spans="1:12" customHeight="1" ht="105" outlineLevel="4">
      <c r="A1160" s="1"/>
      <c r="B1160" s="1">
        <v>930258</v>
      </c>
      <c r="C1160" s="1" t="s">
        <v>3712</v>
      </c>
      <c r="D1160" s="1" t="s">
        <v>3713</v>
      </c>
      <c r="E1160" s="2" t="s">
        <v>3714</v>
      </c>
      <c r="F1160" s="2" t="s">
        <v>3715</v>
      </c>
      <c r="G1160" s="2" t="s">
        <v>58</v>
      </c>
      <c r="H1160" s="2">
        <v>0</v>
      </c>
      <c r="I1160" s="1">
        <v>0</v>
      </c>
      <c r="J1160" s="3" t="s">
        <v>447</v>
      </c>
      <c r="K1160" s="2" t="str">
        <f>J1160*151.73</f>
        <v>0</v>
      </c>
      <c r="L1160" s="5"/>
    </row>
    <row r="1161" spans="1:12" customHeight="1" ht="105" outlineLevel="4">
      <c r="A1161" s="1"/>
      <c r="B1161" s="1">
        <v>930259</v>
      </c>
      <c r="C1161" s="1" t="s">
        <v>3716</v>
      </c>
      <c r="D1161" s="1" t="s">
        <v>3717</v>
      </c>
      <c r="E1161" s="2" t="s">
        <v>3718</v>
      </c>
      <c r="F1161" s="2" t="s">
        <v>3719</v>
      </c>
      <c r="G1161" s="2" t="s">
        <v>152</v>
      </c>
      <c r="H1161" s="2">
        <v>0</v>
      </c>
      <c r="I1161" s="1">
        <v>0</v>
      </c>
      <c r="J1161" s="3" t="s">
        <v>447</v>
      </c>
      <c r="K1161" s="2" t="str">
        <f>J1161*178.50</f>
        <v>0</v>
      </c>
      <c r="L1161" s="5"/>
    </row>
    <row r="1162" spans="1:12" customHeight="1" ht="105" outlineLevel="4">
      <c r="A1162" s="1"/>
      <c r="B1162" s="1">
        <v>930260</v>
      </c>
      <c r="C1162" s="1" t="s">
        <v>3720</v>
      </c>
      <c r="D1162" s="1" t="s">
        <v>3721</v>
      </c>
      <c r="E1162" s="2" t="s">
        <v>3722</v>
      </c>
      <c r="F1162" s="2" t="s">
        <v>3723</v>
      </c>
      <c r="G1162" s="2" t="s">
        <v>152</v>
      </c>
      <c r="H1162" s="2">
        <v>0</v>
      </c>
      <c r="I1162" s="1">
        <v>0</v>
      </c>
      <c r="J1162" s="3" t="s">
        <v>447</v>
      </c>
      <c r="K1162" s="2" t="str">
        <f>J1162*235.03</f>
        <v>0</v>
      </c>
      <c r="L1162" s="5"/>
    </row>
    <row r="1163" spans="1:12" customHeight="1" ht="105" outlineLevel="4">
      <c r="A1163" s="1"/>
      <c r="B1163" s="1">
        <v>930261</v>
      </c>
      <c r="C1163" s="1" t="s">
        <v>3724</v>
      </c>
      <c r="D1163" s="1" t="s">
        <v>3725</v>
      </c>
      <c r="E1163" s="2" t="s">
        <v>3726</v>
      </c>
      <c r="F1163" s="2" t="s">
        <v>3727</v>
      </c>
      <c r="G1163" s="2" t="s">
        <v>58</v>
      </c>
      <c r="H1163" s="2">
        <v>0</v>
      </c>
      <c r="I1163" s="1">
        <v>0</v>
      </c>
      <c r="J1163" s="3" t="s">
        <v>447</v>
      </c>
      <c r="K1163" s="2" t="str">
        <f>J1163*230.56</f>
        <v>0</v>
      </c>
      <c r="L1163" s="5"/>
    </row>
    <row r="1164" spans="1:12" customHeight="1" ht="105" outlineLevel="4">
      <c r="A1164" s="1"/>
      <c r="B1164" s="1">
        <v>930262</v>
      </c>
      <c r="C1164" s="1" t="s">
        <v>3728</v>
      </c>
      <c r="D1164" s="1" t="s">
        <v>3729</v>
      </c>
      <c r="E1164" s="2" t="s">
        <v>3730</v>
      </c>
      <c r="F1164" s="2" t="s">
        <v>3731</v>
      </c>
      <c r="G1164" s="2" t="s">
        <v>152</v>
      </c>
      <c r="H1164" s="2">
        <v>0</v>
      </c>
      <c r="I1164" s="1">
        <v>0</v>
      </c>
      <c r="J1164" s="3" t="s">
        <v>447</v>
      </c>
      <c r="K1164" s="2" t="str">
        <f>J1164*285.60</f>
        <v>0</v>
      </c>
      <c r="L1164" s="5"/>
    </row>
    <row r="1165" spans="1:12" customHeight="1" ht="105" outlineLevel="4">
      <c r="A1165" s="1"/>
      <c r="B1165" s="1">
        <v>930263</v>
      </c>
      <c r="C1165" s="1" t="s">
        <v>3732</v>
      </c>
      <c r="D1165" s="1" t="s">
        <v>3733</v>
      </c>
      <c r="E1165" s="2" t="s">
        <v>3734</v>
      </c>
      <c r="F1165" s="2" t="s">
        <v>3735</v>
      </c>
      <c r="G1165" s="2">
        <v>0</v>
      </c>
      <c r="H1165" s="2">
        <v>0</v>
      </c>
      <c r="I1165" s="1" t="s">
        <v>152</v>
      </c>
      <c r="J1165" s="3" t="s">
        <v>447</v>
      </c>
      <c r="K1165" s="2" t="str">
        <f>J1165*284.11</f>
        <v>0</v>
      </c>
      <c r="L1165" s="5"/>
    </row>
    <row r="1166" spans="1:12" customHeight="1" ht="105" outlineLevel="4">
      <c r="A1166" s="1"/>
      <c r="B1166" s="1">
        <v>930264</v>
      </c>
      <c r="C1166" s="1" t="s">
        <v>3736</v>
      </c>
      <c r="D1166" s="1" t="s">
        <v>3737</v>
      </c>
      <c r="E1166" s="2" t="s">
        <v>3738</v>
      </c>
      <c r="F1166" s="2" t="s">
        <v>3735</v>
      </c>
      <c r="G1166" s="2" t="s">
        <v>152</v>
      </c>
      <c r="H1166" s="2">
        <v>0</v>
      </c>
      <c r="I1166" s="1">
        <v>0</v>
      </c>
      <c r="J1166" s="3" t="s">
        <v>447</v>
      </c>
      <c r="K1166" s="2" t="str">
        <f>J1166*284.11</f>
        <v>0</v>
      </c>
      <c r="L1166" s="5"/>
    </row>
    <row r="1167" spans="1:12" customHeight="1" ht="105" outlineLevel="4">
      <c r="A1167" s="1"/>
      <c r="B1167" s="1">
        <v>930265</v>
      </c>
      <c r="C1167" s="1" t="s">
        <v>3739</v>
      </c>
      <c r="D1167" s="1" t="s">
        <v>3740</v>
      </c>
      <c r="E1167" s="2" t="s">
        <v>3741</v>
      </c>
      <c r="F1167" s="2" t="s">
        <v>3742</v>
      </c>
      <c r="G1167" s="2" t="s">
        <v>152</v>
      </c>
      <c r="H1167" s="2">
        <v>0</v>
      </c>
      <c r="I1167" s="1">
        <v>0</v>
      </c>
      <c r="J1167" s="3" t="s">
        <v>447</v>
      </c>
      <c r="K1167" s="2" t="str">
        <f>J1167*313.86</f>
        <v>0</v>
      </c>
      <c r="L1167" s="5"/>
    </row>
    <row r="1168" spans="1:12" customHeight="1" ht="105" outlineLevel="4">
      <c r="A1168" s="1"/>
      <c r="B1168" s="1">
        <v>930266</v>
      </c>
      <c r="C1168" s="1" t="s">
        <v>3743</v>
      </c>
      <c r="D1168" s="1" t="s">
        <v>3744</v>
      </c>
      <c r="E1168" s="2" t="s">
        <v>3745</v>
      </c>
      <c r="F1168" s="2" t="s">
        <v>3746</v>
      </c>
      <c r="G1168" s="2">
        <v>10</v>
      </c>
      <c r="H1168" s="2">
        <v>0</v>
      </c>
      <c r="I1168" s="1">
        <v>0</v>
      </c>
      <c r="J1168" s="3" t="s">
        <v>447</v>
      </c>
      <c r="K1168" s="2" t="str">
        <f>J1168*420.96</f>
        <v>0</v>
      </c>
      <c r="L1168" s="5"/>
    </row>
    <row r="1169" spans="1:12" customHeight="1" ht="105" outlineLevel="4">
      <c r="A1169" s="1"/>
      <c r="B1169" s="1">
        <v>930267</v>
      </c>
      <c r="C1169" s="1" t="s">
        <v>3747</v>
      </c>
      <c r="D1169" s="1" t="s">
        <v>3748</v>
      </c>
      <c r="E1169" s="2" t="s">
        <v>3749</v>
      </c>
      <c r="F1169" s="2" t="s">
        <v>3750</v>
      </c>
      <c r="G1169" s="2" t="s">
        <v>58</v>
      </c>
      <c r="H1169" s="2">
        <v>0</v>
      </c>
      <c r="I1169" s="1">
        <v>0</v>
      </c>
      <c r="J1169" s="3" t="s">
        <v>447</v>
      </c>
      <c r="K1169" s="2" t="str">
        <f>J1169*74.38</f>
        <v>0</v>
      </c>
      <c r="L1169" s="5"/>
    </row>
    <row r="1170" spans="1:12" customHeight="1" ht="105" outlineLevel="4">
      <c r="A1170" s="1"/>
      <c r="B1170" s="1">
        <v>930268</v>
      </c>
      <c r="C1170" s="1" t="s">
        <v>3751</v>
      </c>
      <c r="D1170" s="1" t="s">
        <v>3752</v>
      </c>
      <c r="E1170" s="2" t="s">
        <v>3753</v>
      </c>
      <c r="F1170" s="2" t="s">
        <v>3754</v>
      </c>
      <c r="G1170" s="2" t="s">
        <v>152</v>
      </c>
      <c r="H1170" s="2">
        <v>0</v>
      </c>
      <c r="I1170" s="1">
        <v>0</v>
      </c>
      <c r="J1170" s="3" t="s">
        <v>447</v>
      </c>
      <c r="K1170" s="2" t="str">
        <f>J1170*95.20</f>
        <v>0</v>
      </c>
      <c r="L1170" s="5"/>
    </row>
    <row r="1171" spans="1:12" customHeight="1" ht="105" outlineLevel="4">
      <c r="A1171" s="1"/>
      <c r="B1171" s="1">
        <v>930269</v>
      </c>
      <c r="C1171" s="1" t="s">
        <v>3755</v>
      </c>
      <c r="D1171" s="1" t="s">
        <v>3756</v>
      </c>
      <c r="E1171" s="2" t="s">
        <v>3757</v>
      </c>
      <c r="F1171" s="2" t="s">
        <v>3758</v>
      </c>
      <c r="G1171" s="2" t="s">
        <v>152</v>
      </c>
      <c r="H1171" s="2">
        <v>0</v>
      </c>
      <c r="I1171" s="1">
        <v>0</v>
      </c>
      <c r="J1171" s="3" t="s">
        <v>447</v>
      </c>
      <c r="K1171" s="2" t="str">
        <f>J1171*78.84</f>
        <v>0</v>
      </c>
      <c r="L1171" s="5"/>
    </row>
    <row r="1172" spans="1:12" customHeight="1" ht="105" outlineLevel="4">
      <c r="A1172" s="1"/>
      <c r="B1172" s="1">
        <v>930270</v>
      </c>
      <c r="C1172" s="1" t="s">
        <v>3759</v>
      </c>
      <c r="D1172" s="1" t="s">
        <v>3760</v>
      </c>
      <c r="E1172" s="2" t="s">
        <v>3761</v>
      </c>
      <c r="F1172" s="2" t="s">
        <v>3762</v>
      </c>
      <c r="G1172" s="2" t="s">
        <v>152</v>
      </c>
      <c r="H1172" s="2">
        <v>0</v>
      </c>
      <c r="I1172" s="1">
        <v>0</v>
      </c>
      <c r="J1172" s="3" t="s">
        <v>447</v>
      </c>
      <c r="K1172" s="2" t="str">
        <f>J1172*102.64</f>
        <v>0</v>
      </c>
      <c r="L1172" s="5"/>
    </row>
    <row r="1173" spans="1:12" customHeight="1" ht="105" outlineLevel="4">
      <c r="A1173" s="1"/>
      <c r="B1173" s="1">
        <v>930271</v>
      </c>
      <c r="C1173" s="1" t="s">
        <v>3763</v>
      </c>
      <c r="D1173" s="1" t="s">
        <v>3764</v>
      </c>
      <c r="E1173" s="2" t="s">
        <v>3765</v>
      </c>
      <c r="F1173" s="2" t="s">
        <v>3766</v>
      </c>
      <c r="G1173" s="2" t="s">
        <v>152</v>
      </c>
      <c r="H1173" s="2">
        <v>0</v>
      </c>
      <c r="I1173" s="1">
        <v>0</v>
      </c>
      <c r="J1173" s="3" t="s">
        <v>447</v>
      </c>
      <c r="K1173" s="2" t="str">
        <f>J1173*87.76</f>
        <v>0</v>
      </c>
      <c r="L1173" s="5"/>
    </row>
    <row r="1174" spans="1:12" customHeight="1" ht="105" outlineLevel="4">
      <c r="A1174" s="1"/>
      <c r="B1174" s="1">
        <v>930272</v>
      </c>
      <c r="C1174" s="1" t="s">
        <v>3767</v>
      </c>
      <c r="D1174" s="1" t="s">
        <v>3768</v>
      </c>
      <c r="E1174" s="2" t="s">
        <v>3769</v>
      </c>
      <c r="F1174" s="2" t="s">
        <v>3770</v>
      </c>
      <c r="G1174" s="2" t="s">
        <v>153</v>
      </c>
      <c r="H1174" s="2">
        <v>0</v>
      </c>
      <c r="I1174" s="1">
        <v>0</v>
      </c>
      <c r="J1174" s="3" t="s">
        <v>447</v>
      </c>
      <c r="K1174" s="2" t="str">
        <f>J1174*114.54</f>
        <v>0</v>
      </c>
      <c r="L1174" s="5"/>
    </row>
    <row r="1175" spans="1:12" customHeight="1" ht="105" outlineLevel="4">
      <c r="A1175" s="1"/>
      <c r="B1175" s="1">
        <v>930273</v>
      </c>
      <c r="C1175" s="1" t="s">
        <v>3771</v>
      </c>
      <c r="D1175" s="1" t="s">
        <v>3772</v>
      </c>
      <c r="E1175" s="2" t="s">
        <v>3773</v>
      </c>
      <c r="F1175" s="2" t="s">
        <v>3774</v>
      </c>
      <c r="G1175" s="2" t="s">
        <v>153</v>
      </c>
      <c r="H1175" s="2">
        <v>0</v>
      </c>
      <c r="I1175" s="1">
        <v>0</v>
      </c>
      <c r="J1175" s="3" t="s">
        <v>447</v>
      </c>
      <c r="K1175" s="2" t="str">
        <f>J1175*154.70</f>
        <v>0</v>
      </c>
      <c r="L1175" s="5"/>
    </row>
    <row r="1176" spans="1:12" customHeight="1" ht="105" outlineLevel="4">
      <c r="A1176" s="1"/>
      <c r="B1176" s="1">
        <v>930274</v>
      </c>
      <c r="C1176" s="1" t="s">
        <v>3775</v>
      </c>
      <c r="D1176" s="1" t="s">
        <v>3776</v>
      </c>
      <c r="E1176" s="2" t="s">
        <v>3777</v>
      </c>
      <c r="F1176" s="2" t="s">
        <v>3599</v>
      </c>
      <c r="G1176" s="2" t="s">
        <v>58</v>
      </c>
      <c r="H1176" s="2">
        <v>0</v>
      </c>
      <c r="I1176" s="1">
        <v>0</v>
      </c>
      <c r="J1176" s="3" t="s">
        <v>447</v>
      </c>
      <c r="K1176" s="2" t="str">
        <f>J1176*92.23</f>
        <v>0</v>
      </c>
      <c r="L1176" s="5"/>
    </row>
    <row r="1177" spans="1:12" customHeight="1" ht="105" outlineLevel="4">
      <c r="A1177" s="1"/>
      <c r="B1177" s="1">
        <v>930275</v>
      </c>
      <c r="C1177" s="1" t="s">
        <v>3778</v>
      </c>
      <c r="D1177" s="1" t="s">
        <v>3779</v>
      </c>
      <c r="E1177" s="2" t="s">
        <v>3780</v>
      </c>
      <c r="F1177" s="2" t="s">
        <v>3781</v>
      </c>
      <c r="G1177" s="2" t="s">
        <v>152</v>
      </c>
      <c r="H1177" s="2">
        <v>0</v>
      </c>
      <c r="I1177" s="1">
        <v>0</v>
      </c>
      <c r="J1177" s="3" t="s">
        <v>447</v>
      </c>
      <c r="K1177" s="2" t="str">
        <f>J1177*126.44</f>
        <v>0</v>
      </c>
      <c r="L1177" s="5"/>
    </row>
    <row r="1178" spans="1:12" customHeight="1" ht="105" outlineLevel="4">
      <c r="A1178" s="1"/>
      <c r="B1178" s="1">
        <v>930276</v>
      </c>
      <c r="C1178" s="1" t="s">
        <v>3782</v>
      </c>
      <c r="D1178" s="1" t="s">
        <v>3783</v>
      </c>
      <c r="E1178" s="2" t="s">
        <v>3784</v>
      </c>
      <c r="F1178" s="2" t="s">
        <v>3606</v>
      </c>
      <c r="G1178" s="2" t="s">
        <v>58</v>
      </c>
      <c r="H1178" s="2">
        <v>0</v>
      </c>
      <c r="I1178" s="1">
        <v>0</v>
      </c>
      <c r="J1178" s="3" t="s">
        <v>447</v>
      </c>
      <c r="K1178" s="2" t="str">
        <f>J1178*96.69</f>
        <v>0</v>
      </c>
      <c r="L1178" s="5"/>
    </row>
    <row r="1179" spans="1:12" customHeight="1" ht="105" outlineLevel="4">
      <c r="A1179" s="1"/>
      <c r="B1179" s="1">
        <v>930277</v>
      </c>
      <c r="C1179" s="1" t="s">
        <v>3785</v>
      </c>
      <c r="D1179" s="1" t="s">
        <v>3786</v>
      </c>
      <c r="E1179" s="2" t="s">
        <v>3787</v>
      </c>
      <c r="F1179" s="2" t="s">
        <v>3788</v>
      </c>
      <c r="G1179" s="2" t="s">
        <v>153</v>
      </c>
      <c r="H1179" s="2">
        <v>0</v>
      </c>
      <c r="I1179" s="1">
        <v>0</v>
      </c>
      <c r="J1179" s="3" t="s">
        <v>447</v>
      </c>
      <c r="K1179" s="2" t="str">
        <f>J1179*132.39</f>
        <v>0</v>
      </c>
      <c r="L1179" s="5"/>
    </row>
    <row r="1180" spans="1:12" customHeight="1" ht="105" outlineLevel="4">
      <c r="A1180" s="1"/>
      <c r="B1180" s="1">
        <v>930278</v>
      </c>
      <c r="C1180" s="1" t="s">
        <v>3789</v>
      </c>
      <c r="D1180" s="1" t="s">
        <v>3790</v>
      </c>
      <c r="E1180" s="2" t="s">
        <v>3791</v>
      </c>
      <c r="F1180" s="2" t="s">
        <v>3792</v>
      </c>
      <c r="G1180" s="2" t="s">
        <v>152</v>
      </c>
      <c r="H1180" s="2">
        <v>0</v>
      </c>
      <c r="I1180" s="1">
        <v>0</v>
      </c>
      <c r="J1180" s="3" t="s">
        <v>447</v>
      </c>
      <c r="K1180" s="2" t="str">
        <f>J1180*105.61</f>
        <v>0</v>
      </c>
      <c r="L1180" s="5"/>
    </row>
    <row r="1181" spans="1:12" customHeight="1" ht="105" outlineLevel="4">
      <c r="A1181" s="1"/>
      <c r="B1181" s="1">
        <v>930279</v>
      </c>
      <c r="C1181" s="1" t="s">
        <v>3793</v>
      </c>
      <c r="D1181" s="1" t="s">
        <v>3794</v>
      </c>
      <c r="E1181" s="2" t="s">
        <v>3795</v>
      </c>
      <c r="F1181" s="2" t="s">
        <v>3796</v>
      </c>
      <c r="G1181" s="2" t="s">
        <v>153</v>
      </c>
      <c r="H1181" s="2">
        <v>0</v>
      </c>
      <c r="I1181" s="1">
        <v>0</v>
      </c>
      <c r="J1181" s="3" t="s">
        <v>447</v>
      </c>
      <c r="K1181" s="2" t="str">
        <f>J1181*144.29</f>
        <v>0</v>
      </c>
      <c r="L1181" s="5"/>
    </row>
    <row r="1182" spans="1:12" customHeight="1" ht="105" outlineLevel="4">
      <c r="A1182" s="1"/>
      <c r="B1182" s="1">
        <v>930280</v>
      </c>
      <c r="C1182" s="1" t="s">
        <v>3797</v>
      </c>
      <c r="D1182" s="1" t="s">
        <v>3798</v>
      </c>
      <c r="E1182" s="2" t="s">
        <v>3799</v>
      </c>
      <c r="F1182" s="2" t="s">
        <v>3800</v>
      </c>
      <c r="G1182" s="2" t="s">
        <v>153</v>
      </c>
      <c r="H1182" s="2">
        <v>0</v>
      </c>
      <c r="I1182" s="1">
        <v>0</v>
      </c>
      <c r="J1182" s="3" t="s">
        <v>447</v>
      </c>
      <c r="K1182" s="2" t="str">
        <f>J1182*190.40</f>
        <v>0</v>
      </c>
      <c r="L1182" s="5"/>
    </row>
    <row r="1183" spans="1:12" customHeight="1" ht="105" outlineLevel="4">
      <c r="A1183" s="1"/>
      <c r="B1183" s="1">
        <v>930281</v>
      </c>
      <c r="C1183" s="1" t="s">
        <v>3801</v>
      </c>
      <c r="D1183" s="1" t="s">
        <v>3802</v>
      </c>
      <c r="E1183" s="2" t="s">
        <v>3803</v>
      </c>
      <c r="F1183" s="2" t="s">
        <v>3804</v>
      </c>
      <c r="G1183" s="2" t="s">
        <v>58</v>
      </c>
      <c r="H1183" s="2">
        <v>0</v>
      </c>
      <c r="I1183" s="1">
        <v>0</v>
      </c>
      <c r="J1183" s="3" t="s">
        <v>447</v>
      </c>
      <c r="K1183" s="2" t="str">
        <f>J1183*75.86</f>
        <v>0</v>
      </c>
      <c r="L1183" s="5"/>
    </row>
    <row r="1184" spans="1:12" customHeight="1" ht="105" outlineLevel="4">
      <c r="A1184" s="1"/>
      <c r="B1184" s="1">
        <v>930282</v>
      </c>
      <c r="C1184" s="1" t="s">
        <v>3805</v>
      </c>
      <c r="D1184" s="1" t="s">
        <v>3806</v>
      </c>
      <c r="E1184" s="2" t="s">
        <v>3807</v>
      </c>
      <c r="F1184" s="2" t="s">
        <v>3762</v>
      </c>
      <c r="G1184" s="2" t="s">
        <v>152</v>
      </c>
      <c r="H1184" s="2">
        <v>0</v>
      </c>
      <c r="I1184" s="1">
        <v>0</v>
      </c>
      <c r="J1184" s="3" t="s">
        <v>447</v>
      </c>
      <c r="K1184" s="2" t="str">
        <f>J1184*102.64</f>
        <v>0</v>
      </c>
      <c r="L1184" s="5"/>
    </row>
    <row r="1185" spans="1:12" customHeight="1" ht="105" outlineLevel="4">
      <c r="A1185" s="1"/>
      <c r="B1185" s="1">
        <v>930283</v>
      </c>
      <c r="C1185" s="1" t="s">
        <v>3808</v>
      </c>
      <c r="D1185" s="1" t="s">
        <v>3809</v>
      </c>
      <c r="E1185" s="2" t="s">
        <v>3810</v>
      </c>
      <c r="F1185" s="2" t="s">
        <v>3614</v>
      </c>
      <c r="G1185" s="2" t="s">
        <v>153</v>
      </c>
      <c r="H1185" s="2">
        <v>0</v>
      </c>
      <c r="I1185" s="1">
        <v>0</v>
      </c>
      <c r="J1185" s="3" t="s">
        <v>447</v>
      </c>
      <c r="K1185" s="2" t="str">
        <f>J1185*80.33</f>
        <v>0</v>
      </c>
      <c r="L1185" s="5"/>
    </row>
    <row r="1186" spans="1:12" customHeight="1" ht="105" outlineLevel="4">
      <c r="A1186" s="1"/>
      <c r="B1186" s="1">
        <v>930284</v>
      </c>
      <c r="C1186" s="1" t="s">
        <v>3811</v>
      </c>
      <c r="D1186" s="1" t="s">
        <v>3812</v>
      </c>
      <c r="E1186" s="2" t="s">
        <v>3813</v>
      </c>
      <c r="F1186" s="2" t="s">
        <v>3792</v>
      </c>
      <c r="G1186" s="2" t="s">
        <v>153</v>
      </c>
      <c r="H1186" s="2">
        <v>0</v>
      </c>
      <c r="I1186" s="1">
        <v>0</v>
      </c>
      <c r="J1186" s="3" t="s">
        <v>447</v>
      </c>
      <c r="K1186" s="2" t="str">
        <f>J1186*105.61</f>
        <v>0</v>
      </c>
      <c r="L1186" s="5"/>
    </row>
    <row r="1187" spans="1:12" customHeight="1" ht="105" outlineLevel="4">
      <c r="A1187" s="1"/>
      <c r="B1187" s="1">
        <v>930285</v>
      </c>
      <c r="C1187" s="1" t="s">
        <v>3814</v>
      </c>
      <c r="D1187" s="1" t="s">
        <v>3815</v>
      </c>
      <c r="E1187" s="2" t="s">
        <v>3816</v>
      </c>
      <c r="F1187" s="2" t="s">
        <v>3817</v>
      </c>
      <c r="G1187" s="2" t="s">
        <v>153</v>
      </c>
      <c r="H1187" s="2">
        <v>0</v>
      </c>
      <c r="I1187" s="1">
        <v>0</v>
      </c>
      <c r="J1187" s="3" t="s">
        <v>447</v>
      </c>
      <c r="K1187" s="2" t="str">
        <f>J1187*157.68</f>
        <v>0</v>
      </c>
      <c r="L1187" s="5"/>
    </row>
    <row r="1188" spans="1:12" customHeight="1" ht="105" outlineLevel="4">
      <c r="A1188" s="1"/>
      <c r="B1188" s="1">
        <v>930286</v>
      </c>
      <c r="C1188" s="1" t="s">
        <v>3818</v>
      </c>
      <c r="D1188" s="1" t="s">
        <v>3819</v>
      </c>
      <c r="E1188" s="2" t="s">
        <v>3820</v>
      </c>
      <c r="F1188" s="2" t="s">
        <v>3821</v>
      </c>
      <c r="G1188" s="2" t="s">
        <v>152</v>
      </c>
      <c r="H1188" s="2">
        <v>0</v>
      </c>
      <c r="I1188" s="1">
        <v>0</v>
      </c>
      <c r="J1188" s="3" t="s">
        <v>447</v>
      </c>
      <c r="K1188" s="2" t="str">
        <f>J1188*93.71</f>
        <v>0</v>
      </c>
      <c r="L1188" s="5"/>
    </row>
    <row r="1189" spans="1:12" customHeight="1" ht="105" outlineLevel="4">
      <c r="A1189" s="1"/>
      <c r="B1189" s="1">
        <v>930287</v>
      </c>
      <c r="C1189" s="1" t="s">
        <v>3822</v>
      </c>
      <c r="D1189" s="1" t="s">
        <v>3823</v>
      </c>
      <c r="E1189" s="2" t="s">
        <v>3824</v>
      </c>
      <c r="F1189" s="2" t="s">
        <v>3788</v>
      </c>
      <c r="G1189" s="2" t="s">
        <v>153</v>
      </c>
      <c r="H1189" s="2">
        <v>0</v>
      </c>
      <c r="I1189" s="1">
        <v>0</v>
      </c>
      <c r="J1189" s="3" t="s">
        <v>447</v>
      </c>
      <c r="K1189" s="2" t="str">
        <f>J1189*132.39</f>
        <v>0</v>
      </c>
      <c r="L1189" s="5"/>
    </row>
    <row r="1190" spans="1:12" customHeight="1" ht="105" outlineLevel="4">
      <c r="A1190" s="1"/>
      <c r="B1190" s="1">
        <v>930288</v>
      </c>
      <c r="C1190" s="1" t="s">
        <v>3825</v>
      </c>
      <c r="D1190" s="1" t="s">
        <v>3826</v>
      </c>
      <c r="E1190" s="2" t="s">
        <v>3827</v>
      </c>
      <c r="F1190" s="2" t="s">
        <v>3828</v>
      </c>
      <c r="G1190" s="2" t="s">
        <v>153</v>
      </c>
      <c r="H1190" s="2">
        <v>0</v>
      </c>
      <c r="I1190" s="1">
        <v>0</v>
      </c>
      <c r="J1190" s="3" t="s">
        <v>447</v>
      </c>
      <c r="K1190" s="2" t="str">
        <f>J1190*172.55</f>
        <v>0</v>
      </c>
      <c r="L1190" s="5"/>
    </row>
    <row r="1191" spans="1:12" customHeight="1" ht="105" outlineLevel="4">
      <c r="A1191" s="1"/>
      <c r="B1191" s="1">
        <v>930289</v>
      </c>
      <c r="C1191" s="1" t="s">
        <v>3829</v>
      </c>
      <c r="D1191" s="1" t="s">
        <v>3830</v>
      </c>
      <c r="E1191" s="2" t="s">
        <v>3831</v>
      </c>
      <c r="F1191" s="2" t="s">
        <v>3533</v>
      </c>
      <c r="G1191" s="2" t="s">
        <v>153</v>
      </c>
      <c r="H1191" s="2">
        <v>0</v>
      </c>
      <c r="I1191" s="1">
        <v>0</v>
      </c>
      <c r="J1191" s="3" t="s">
        <v>447</v>
      </c>
      <c r="K1191" s="2" t="str">
        <f>J1191*133.88</f>
        <v>0</v>
      </c>
      <c r="L1191" s="5"/>
    </row>
    <row r="1192" spans="1:12" customHeight="1" ht="105" outlineLevel="4">
      <c r="A1192" s="1"/>
      <c r="B1192" s="1">
        <v>930290</v>
      </c>
      <c r="C1192" s="1" t="s">
        <v>3832</v>
      </c>
      <c r="D1192" s="1" t="s">
        <v>3833</v>
      </c>
      <c r="E1192" s="2" t="s">
        <v>3834</v>
      </c>
      <c r="F1192" s="2" t="s">
        <v>3835</v>
      </c>
      <c r="G1192" s="2">
        <v>10</v>
      </c>
      <c r="H1192" s="2">
        <v>0</v>
      </c>
      <c r="I1192" s="1">
        <v>0</v>
      </c>
      <c r="J1192" s="3" t="s">
        <v>447</v>
      </c>
      <c r="K1192" s="2" t="str">
        <f>J1192*191.89</f>
        <v>0</v>
      </c>
      <c r="L1192" s="5"/>
    </row>
    <row r="1193" spans="1:12" customHeight="1" ht="105" outlineLevel="4">
      <c r="A1193" s="1"/>
      <c r="B1193" s="1">
        <v>930291</v>
      </c>
      <c r="C1193" s="1" t="s">
        <v>3836</v>
      </c>
      <c r="D1193" s="1" t="s">
        <v>3837</v>
      </c>
      <c r="E1193" s="2" t="s">
        <v>3838</v>
      </c>
      <c r="F1193" s="2" t="s">
        <v>3774</v>
      </c>
      <c r="G1193" s="2" t="s">
        <v>153</v>
      </c>
      <c r="H1193" s="2">
        <v>0</v>
      </c>
      <c r="I1193" s="1">
        <v>0</v>
      </c>
      <c r="J1193" s="3" t="s">
        <v>447</v>
      </c>
      <c r="K1193" s="2" t="str">
        <f>J1193*154.70</f>
        <v>0</v>
      </c>
      <c r="L1193" s="5"/>
    </row>
    <row r="1194" spans="1:12" customHeight="1" ht="105" outlineLevel="4">
      <c r="A1194" s="1"/>
      <c r="B1194" s="1">
        <v>930292</v>
      </c>
      <c r="C1194" s="1" t="s">
        <v>3839</v>
      </c>
      <c r="D1194" s="1" t="s">
        <v>3840</v>
      </c>
      <c r="E1194" s="2" t="s">
        <v>3841</v>
      </c>
      <c r="F1194" s="2" t="s">
        <v>3817</v>
      </c>
      <c r="G1194" s="2" t="s">
        <v>152</v>
      </c>
      <c r="H1194" s="2">
        <v>0</v>
      </c>
      <c r="I1194" s="1">
        <v>0</v>
      </c>
      <c r="J1194" s="3" t="s">
        <v>447</v>
      </c>
      <c r="K1194" s="2" t="str">
        <f>J1194*157.68</f>
        <v>0</v>
      </c>
      <c r="L1194" s="5"/>
    </row>
    <row r="1195" spans="1:12" customHeight="1" ht="105" outlineLevel="4">
      <c r="A1195" s="1"/>
      <c r="B1195" s="1">
        <v>930354</v>
      </c>
      <c r="C1195" s="1" t="s">
        <v>3842</v>
      </c>
      <c r="D1195" s="1" t="s">
        <v>3843</v>
      </c>
      <c r="E1195" s="2" t="s">
        <v>3844</v>
      </c>
      <c r="F1195" s="2" t="s">
        <v>3845</v>
      </c>
      <c r="G1195" s="2" t="s">
        <v>58</v>
      </c>
      <c r="H1195" s="2">
        <v>0</v>
      </c>
      <c r="I1195" s="1">
        <v>0</v>
      </c>
      <c r="J1195" s="3" t="s">
        <v>447</v>
      </c>
      <c r="K1195" s="2" t="str">
        <f>J1195*69.91</f>
        <v>0</v>
      </c>
      <c r="L1195" s="5"/>
    </row>
    <row r="1196" spans="1:12" customHeight="1" ht="105" outlineLevel="4">
      <c r="A1196" s="1"/>
      <c r="B1196" s="1">
        <v>930355</v>
      </c>
      <c r="C1196" s="1" t="s">
        <v>3846</v>
      </c>
      <c r="D1196" s="1" t="s">
        <v>3847</v>
      </c>
      <c r="E1196" s="2" t="s">
        <v>3848</v>
      </c>
      <c r="F1196" s="2" t="s">
        <v>3599</v>
      </c>
      <c r="G1196" s="2" t="s">
        <v>152</v>
      </c>
      <c r="H1196" s="2">
        <v>0</v>
      </c>
      <c r="I1196" s="1">
        <v>0</v>
      </c>
      <c r="J1196" s="3" t="s">
        <v>447</v>
      </c>
      <c r="K1196" s="2" t="str">
        <f>J1196*92.23</f>
        <v>0</v>
      </c>
      <c r="L1196" s="5"/>
    </row>
    <row r="1197" spans="1:12" customHeight="1" ht="105" outlineLevel="4">
      <c r="A1197" s="1"/>
      <c r="B1197" s="1">
        <v>930356</v>
      </c>
      <c r="C1197" s="1" t="s">
        <v>3849</v>
      </c>
      <c r="D1197" s="1" t="s">
        <v>3850</v>
      </c>
      <c r="E1197" s="2" t="s">
        <v>3851</v>
      </c>
      <c r="F1197" s="2" t="s">
        <v>3852</v>
      </c>
      <c r="G1197" s="2" t="s">
        <v>74</v>
      </c>
      <c r="H1197" s="2">
        <v>0</v>
      </c>
      <c r="I1197" s="1">
        <v>0</v>
      </c>
      <c r="J1197" s="3" t="s">
        <v>447</v>
      </c>
      <c r="K1197" s="2" t="str">
        <f>J1197*72.89</f>
        <v>0</v>
      </c>
      <c r="L1197" s="5"/>
    </row>
    <row r="1198" spans="1:12" customHeight="1" ht="105" outlineLevel="4">
      <c r="A1198" s="1"/>
      <c r="B1198" s="1">
        <v>930357</v>
      </c>
      <c r="C1198" s="1" t="s">
        <v>3853</v>
      </c>
      <c r="D1198" s="1" t="s">
        <v>3854</v>
      </c>
      <c r="E1198" s="2" t="s">
        <v>3855</v>
      </c>
      <c r="F1198" s="2" t="s">
        <v>3606</v>
      </c>
      <c r="G1198" s="2" t="s">
        <v>58</v>
      </c>
      <c r="H1198" s="2">
        <v>0</v>
      </c>
      <c r="I1198" s="1">
        <v>0</v>
      </c>
      <c r="J1198" s="3" t="s">
        <v>447</v>
      </c>
      <c r="K1198" s="2" t="str">
        <f>J1198*96.69</f>
        <v>0</v>
      </c>
      <c r="L1198" s="5"/>
    </row>
    <row r="1199" spans="1:12" customHeight="1" ht="105" outlineLevel="4">
      <c r="A1199" s="1"/>
      <c r="B1199" s="1">
        <v>930358</v>
      </c>
      <c r="C1199" s="1" t="s">
        <v>3856</v>
      </c>
      <c r="D1199" s="1" t="s">
        <v>3857</v>
      </c>
      <c r="E1199" s="2" t="s">
        <v>3858</v>
      </c>
      <c r="F1199" s="2" t="s">
        <v>3859</v>
      </c>
      <c r="G1199" s="2" t="s">
        <v>58</v>
      </c>
      <c r="H1199" s="2">
        <v>0</v>
      </c>
      <c r="I1199" s="1">
        <v>0</v>
      </c>
      <c r="J1199" s="3" t="s">
        <v>447</v>
      </c>
      <c r="K1199" s="2" t="str">
        <f>J1199*138.34</f>
        <v>0</v>
      </c>
      <c r="L1199" s="5"/>
    </row>
    <row r="1200" spans="1:12" customHeight="1" ht="105" outlineLevel="4">
      <c r="A1200" s="1"/>
      <c r="B1200" s="1">
        <v>930359</v>
      </c>
      <c r="C1200" s="1" t="s">
        <v>3860</v>
      </c>
      <c r="D1200" s="1" t="s">
        <v>3861</v>
      </c>
      <c r="E1200" s="2" t="s">
        <v>3862</v>
      </c>
      <c r="F1200" s="2" t="s">
        <v>3758</v>
      </c>
      <c r="G1200" s="2" t="s">
        <v>74</v>
      </c>
      <c r="H1200" s="2">
        <v>0</v>
      </c>
      <c r="I1200" s="1">
        <v>0</v>
      </c>
      <c r="J1200" s="3" t="s">
        <v>447</v>
      </c>
      <c r="K1200" s="2" t="str">
        <f>J1200*78.84</f>
        <v>0</v>
      </c>
      <c r="L1200" s="5"/>
    </row>
    <row r="1201" spans="1:12" customHeight="1" ht="105" outlineLevel="4">
      <c r="A1201" s="1"/>
      <c r="B1201" s="1">
        <v>930360</v>
      </c>
      <c r="C1201" s="1" t="s">
        <v>3863</v>
      </c>
      <c r="D1201" s="1" t="s">
        <v>3864</v>
      </c>
      <c r="E1201" s="2" t="s">
        <v>3865</v>
      </c>
      <c r="F1201" s="2" t="s">
        <v>3866</v>
      </c>
      <c r="G1201" s="2" t="s">
        <v>152</v>
      </c>
      <c r="H1201" s="2">
        <v>0</v>
      </c>
      <c r="I1201" s="1" t="s">
        <v>153</v>
      </c>
      <c r="J1201" s="3" t="s">
        <v>447</v>
      </c>
      <c r="K1201" s="2" t="str">
        <f>J1201*101.15</f>
        <v>0</v>
      </c>
      <c r="L1201" s="5"/>
    </row>
    <row r="1202" spans="1:12" customHeight="1" ht="105" outlineLevel="4">
      <c r="A1202" s="1"/>
      <c r="B1202" s="1">
        <v>930361</v>
      </c>
      <c r="C1202" s="1" t="s">
        <v>3867</v>
      </c>
      <c r="D1202" s="1" t="s">
        <v>3868</v>
      </c>
      <c r="E1202" s="2" t="s">
        <v>3869</v>
      </c>
      <c r="F1202" s="2" t="s">
        <v>3679</v>
      </c>
      <c r="G1202" s="2">
        <v>0</v>
      </c>
      <c r="H1202" s="2">
        <v>0</v>
      </c>
      <c r="I1202" s="1">
        <v>0</v>
      </c>
      <c r="J1202" s="3" t="s">
        <v>447</v>
      </c>
      <c r="K1202" s="2" t="str">
        <f>J1202*139.83</f>
        <v>0</v>
      </c>
      <c r="L1202" s="5"/>
    </row>
    <row r="1203" spans="1:12" customHeight="1" ht="105" outlineLevel="4">
      <c r="A1203" s="1"/>
      <c r="B1203" s="1">
        <v>930362</v>
      </c>
      <c r="C1203" s="1" t="s">
        <v>3870</v>
      </c>
      <c r="D1203" s="1" t="s">
        <v>3871</v>
      </c>
      <c r="E1203" s="2" t="s">
        <v>3872</v>
      </c>
      <c r="F1203" s="2" t="s">
        <v>3766</v>
      </c>
      <c r="G1203" s="2">
        <v>0</v>
      </c>
      <c r="H1203" s="2">
        <v>0</v>
      </c>
      <c r="I1203" s="1">
        <v>0</v>
      </c>
      <c r="J1203" s="3" t="s">
        <v>447</v>
      </c>
      <c r="K1203" s="2" t="str">
        <f>J1203*87.76</f>
        <v>0</v>
      </c>
      <c r="L1203" s="5"/>
    </row>
    <row r="1204" spans="1:12" customHeight="1" ht="105" outlineLevel="4">
      <c r="A1204" s="1"/>
      <c r="B1204" s="1">
        <v>930363</v>
      </c>
      <c r="C1204" s="1" t="s">
        <v>3873</v>
      </c>
      <c r="D1204" s="1" t="s">
        <v>3874</v>
      </c>
      <c r="E1204" s="2" t="s">
        <v>3875</v>
      </c>
      <c r="F1204" s="2" t="s">
        <v>3876</v>
      </c>
      <c r="G1204" s="2" t="s">
        <v>74</v>
      </c>
      <c r="H1204" s="2">
        <v>0</v>
      </c>
      <c r="I1204" s="1">
        <v>0</v>
      </c>
      <c r="J1204" s="3" t="s">
        <v>447</v>
      </c>
      <c r="K1204" s="2" t="str">
        <f>J1204*123.46</f>
        <v>0</v>
      </c>
      <c r="L1204" s="5"/>
    </row>
    <row r="1205" spans="1:12" customHeight="1" ht="105" outlineLevel="4">
      <c r="A1205" s="1"/>
      <c r="B1205" s="1">
        <v>930364</v>
      </c>
      <c r="C1205" s="1" t="s">
        <v>3877</v>
      </c>
      <c r="D1205" s="1" t="s">
        <v>3878</v>
      </c>
      <c r="E1205" s="2" t="s">
        <v>3879</v>
      </c>
      <c r="F1205" s="2" t="s">
        <v>3599</v>
      </c>
      <c r="G1205" s="2" t="s">
        <v>74</v>
      </c>
      <c r="H1205" s="2">
        <v>0</v>
      </c>
      <c r="I1205" s="1">
        <v>0</v>
      </c>
      <c r="J1205" s="3" t="s">
        <v>447</v>
      </c>
      <c r="K1205" s="2" t="str">
        <f>J1205*92.23</f>
        <v>0</v>
      </c>
      <c r="L1205" s="5"/>
    </row>
    <row r="1206" spans="1:12" customHeight="1" ht="105" outlineLevel="4">
      <c r="A1206" s="1"/>
      <c r="B1206" s="1">
        <v>930365</v>
      </c>
      <c r="C1206" s="1" t="s">
        <v>3880</v>
      </c>
      <c r="D1206" s="1" t="s">
        <v>3881</v>
      </c>
      <c r="E1206" s="2" t="s">
        <v>3882</v>
      </c>
      <c r="F1206" s="2" t="s">
        <v>3883</v>
      </c>
      <c r="G1206" s="2" t="s">
        <v>153</v>
      </c>
      <c r="H1206" s="2">
        <v>0</v>
      </c>
      <c r="I1206" s="1">
        <v>0</v>
      </c>
      <c r="J1206" s="3" t="s">
        <v>447</v>
      </c>
      <c r="K1206" s="2" t="str">
        <f>J1206*127.93</f>
        <v>0</v>
      </c>
      <c r="L1206" s="5"/>
    </row>
    <row r="1207" spans="1:12" customHeight="1" ht="105" outlineLevel="4">
      <c r="A1207" s="1"/>
      <c r="B1207" s="1">
        <v>930366</v>
      </c>
      <c r="C1207" s="1" t="s">
        <v>3884</v>
      </c>
      <c r="D1207" s="1" t="s">
        <v>3885</v>
      </c>
      <c r="E1207" s="2" t="s">
        <v>3886</v>
      </c>
      <c r="F1207" s="2" t="s">
        <v>3887</v>
      </c>
      <c r="G1207" s="2" t="s">
        <v>152</v>
      </c>
      <c r="H1207" s="2">
        <v>0</v>
      </c>
      <c r="I1207" s="1">
        <v>0</v>
      </c>
      <c r="J1207" s="3" t="s">
        <v>447</v>
      </c>
      <c r="K1207" s="2" t="str">
        <f>J1207*174.04</f>
        <v>0</v>
      </c>
      <c r="L1207" s="5"/>
    </row>
    <row r="1208" spans="1:12" customHeight="1" ht="105" outlineLevel="4">
      <c r="A1208" s="1"/>
      <c r="B1208" s="1">
        <v>930367</v>
      </c>
      <c r="C1208" s="1" t="s">
        <v>3888</v>
      </c>
      <c r="D1208" s="1" t="s">
        <v>3889</v>
      </c>
      <c r="E1208" s="2" t="s">
        <v>3890</v>
      </c>
      <c r="F1208" s="2" t="s">
        <v>3606</v>
      </c>
      <c r="G1208" s="2" t="s">
        <v>152</v>
      </c>
      <c r="H1208" s="2">
        <v>0</v>
      </c>
      <c r="I1208" s="1">
        <v>0</v>
      </c>
      <c r="J1208" s="3" t="s">
        <v>447</v>
      </c>
      <c r="K1208" s="2" t="str">
        <f>J1208*96.69</f>
        <v>0</v>
      </c>
      <c r="L1208" s="5"/>
    </row>
    <row r="1209" spans="1:12" customHeight="1" ht="105" outlineLevel="4">
      <c r="A1209" s="1"/>
      <c r="B1209" s="1">
        <v>930368</v>
      </c>
      <c r="C1209" s="1" t="s">
        <v>3891</v>
      </c>
      <c r="D1209" s="1" t="s">
        <v>3892</v>
      </c>
      <c r="E1209" s="2" t="s">
        <v>3893</v>
      </c>
      <c r="F1209" s="2" t="s">
        <v>3788</v>
      </c>
      <c r="G1209" s="2" t="s">
        <v>152</v>
      </c>
      <c r="H1209" s="2">
        <v>0</v>
      </c>
      <c r="I1209" s="1">
        <v>0</v>
      </c>
      <c r="J1209" s="3" t="s">
        <v>447</v>
      </c>
      <c r="K1209" s="2" t="str">
        <f>J1209*132.39</f>
        <v>0</v>
      </c>
      <c r="L1209" s="5"/>
    </row>
    <row r="1210" spans="1:12" customHeight="1" ht="105" outlineLevel="4">
      <c r="A1210" s="1"/>
      <c r="B1210" s="1">
        <v>930369</v>
      </c>
      <c r="C1210" s="1" t="s">
        <v>3894</v>
      </c>
      <c r="D1210" s="1" t="s">
        <v>3895</v>
      </c>
      <c r="E1210" s="2" t="s">
        <v>3896</v>
      </c>
      <c r="F1210" s="2" t="s">
        <v>3719</v>
      </c>
      <c r="G1210" s="2">
        <v>0</v>
      </c>
      <c r="H1210" s="2">
        <v>0</v>
      </c>
      <c r="I1210" s="1">
        <v>0</v>
      </c>
      <c r="J1210" s="3" t="s">
        <v>447</v>
      </c>
      <c r="K1210" s="2" t="str">
        <f>J1210*178.50</f>
        <v>0</v>
      </c>
      <c r="L1210" s="5"/>
    </row>
    <row r="1211" spans="1:12" customHeight="1" ht="105" outlineLevel="4">
      <c r="A1211" s="1"/>
      <c r="B1211" s="1">
        <v>930370</v>
      </c>
      <c r="C1211" s="1" t="s">
        <v>3897</v>
      </c>
      <c r="D1211" s="1" t="s">
        <v>3898</v>
      </c>
      <c r="E1211" s="2" t="s">
        <v>3899</v>
      </c>
      <c r="F1211" s="2" t="s">
        <v>3750</v>
      </c>
      <c r="G1211" s="2" t="s">
        <v>58</v>
      </c>
      <c r="H1211" s="2">
        <v>0</v>
      </c>
      <c r="I1211" s="1">
        <v>0</v>
      </c>
      <c r="J1211" s="3" t="s">
        <v>447</v>
      </c>
      <c r="K1211" s="2" t="str">
        <f>J1211*74.38</f>
        <v>0</v>
      </c>
      <c r="L1211" s="5"/>
    </row>
    <row r="1212" spans="1:12" customHeight="1" ht="105" outlineLevel="4">
      <c r="A1212" s="1"/>
      <c r="B1212" s="1">
        <v>930371</v>
      </c>
      <c r="C1212" s="1" t="s">
        <v>3900</v>
      </c>
      <c r="D1212" s="1" t="s">
        <v>3901</v>
      </c>
      <c r="E1212" s="2" t="s">
        <v>3902</v>
      </c>
      <c r="F1212" s="2" t="s">
        <v>3614</v>
      </c>
      <c r="G1212" s="2" t="s">
        <v>74</v>
      </c>
      <c r="H1212" s="2">
        <v>0</v>
      </c>
      <c r="I1212" s="1">
        <v>0</v>
      </c>
      <c r="J1212" s="3" t="s">
        <v>447</v>
      </c>
      <c r="K1212" s="2" t="str">
        <f>J1212*80.33</f>
        <v>0</v>
      </c>
      <c r="L1212" s="5"/>
    </row>
    <row r="1213" spans="1:12" customHeight="1" ht="105" outlineLevel="4">
      <c r="A1213" s="1"/>
      <c r="B1213" s="1">
        <v>930372</v>
      </c>
      <c r="C1213" s="1" t="s">
        <v>3903</v>
      </c>
      <c r="D1213" s="1" t="s">
        <v>3904</v>
      </c>
      <c r="E1213" s="2" t="s">
        <v>3905</v>
      </c>
      <c r="F1213" s="2" t="s">
        <v>3906</v>
      </c>
      <c r="G1213" s="2" t="s">
        <v>74</v>
      </c>
      <c r="H1213" s="2">
        <v>0</v>
      </c>
      <c r="I1213" s="1">
        <v>0</v>
      </c>
      <c r="J1213" s="3" t="s">
        <v>447</v>
      </c>
      <c r="K1213" s="2" t="str">
        <f>J1213*104.13</f>
        <v>0</v>
      </c>
      <c r="L1213" s="5"/>
    </row>
    <row r="1214" spans="1:12" customHeight="1" ht="105" outlineLevel="4">
      <c r="A1214" s="1"/>
      <c r="B1214" s="1">
        <v>930373</v>
      </c>
      <c r="C1214" s="1" t="s">
        <v>3907</v>
      </c>
      <c r="D1214" s="1" t="s">
        <v>3908</v>
      </c>
      <c r="E1214" s="2" t="s">
        <v>3909</v>
      </c>
      <c r="F1214" s="2" t="s">
        <v>3606</v>
      </c>
      <c r="G1214" s="2" t="s">
        <v>58</v>
      </c>
      <c r="H1214" s="2">
        <v>0</v>
      </c>
      <c r="I1214" s="1">
        <v>0</v>
      </c>
      <c r="J1214" s="3" t="s">
        <v>447</v>
      </c>
      <c r="K1214" s="2" t="str">
        <f>J1214*96.69</f>
        <v>0</v>
      </c>
      <c r="L1214" s="5"/>
    </row>
    <row r="1215" spans="1:12" customHeight="1" ht="105" outlineLevel="4">
      <c r="A1215" s="1"/>
      <c r="B1215" s="1">
        <v>930374</v>
      </c>
      <c r="C1215" s="1" t="s">
        <v>3910</v>
      </c>
      <c r="D1215" s="1" t="s">
        <v>3911</v>
      </c>
      <c r="E1215" s="2" t="s">
        <v>3912</v>
      </c>
      <c r="F1215" s="2" t="s">
        <v>3449</v>
      </c>
      <c r="G1215" s="2" t="s">
        <v>152</v>
      </c>
      <c r="H1215" s="2">
        <v>0</v>
      </c>
      <c r="I1215" s="1">
        <v>0</v>
      </c>
      <c r="J1215" s="3" t="s">
        <v>447</v>
      </c>
      <c r="K1215" s="2" t="str">
        <f>J1215*89.25</f>
        <v>0</v>
      </c>
      <c r="L1215" s="5"/>
    </row>
    <row r="1216" spans="1:12" customHeight="1" ht="105" outlineLevel="4">
      <c r="A1216" s="1"/>
      <c r="B1216" s="1">
        <v>930375</v>
      </c>
      <c r="C1216" s="1" t="s">
        <v>3913</v>
      </c>
      <c r="D1216" s="1" t="s">
        <v>3914</v>
      </c>
      <c r="E1216" s="2" t="s">
        <v>3915</v>
      </c>
      <c r="F1216" s="2" t="s">
        <v>3916</v>
      </c>
      <c r="G1216" s="2" t="s">
        <v>152</v>
      </c>
      <c r="H1216" s="2">
        <v>0</v>
      </c>
      <c r="I1216" s="1">
        <v>0</v>
      </c>
      <c r="J1216" s="3" t="s">
        <v>447</v>
      </c>
      <c r="K1216" s="2" t="str">
        <f>J1216*110.08</f>
        <v>0</v>
      </c>
      <c r="L1216" s="5"/>
    </row>
    <row r="1217" spans="1:12" customHeight="1" ht="105" outlineLevel="4">
      <c r="A1217" s="1"/>
      <c r="B1217" s="1">
        <v>930376</v>
      </c>
      <c r="C1217" s="1" t="s">
        <v>3917</v>
      </c>
      <c r="D1217" s="1" t="s">
        <v>3918</v>
      </c>
      <c r="E1217" s="2" t="s">
        <v>3919</v>
      </c>
      <c r="F1217" s="2" t="s">
        <v>3920</v>
      </c>
      <c r="G1217" s="2" t="s">
        <v>74</v>
      </c>
      <c r="H1217" s="2">
        <v>0</v>
      </c>
      <c r="I1217" s="1">
        <v>0</v>
      </c>
      <c r="J1217" s="3" t="s">
        <v>447</v>
      </c>
      <c r="K1217" s="2" t="str">
        <f>J1217*148.75</f>
        <v>0</v>
      </c>
      <c r="L1217" s="5"/>
    </row>
    <row r="1218" spans="1:12" customHeight="1" ht="105" outlineLevel="4">
      <c r="A1218" s="1"/>
      <c r="B1218" s="1">
        <v>930377</v>
      </c>
      <c r="C1218" s="1" t="s">
        <v>3921</v>
      </c>
      <c r="D1218" s="1" t="s">
        <v>3922</v>
      </c>
      <c r="E1218" s="2" t="s">
        <v>3923</v>
      </c>
      <c r="F1218" s="2" t="s">
        <v>3599</v>
      </c>
      <c r="G1218" s="2" t="s">
        <v>58</v>
      </c>
      <c r="H1218" s="2">
        <v>0</v>
      </c>
      <c r="I1218" s="1">
        <v>0</v>
      </c>
      <c r="J1218" s="3" t="s">
        <v>447</v>
      </c>
      <c r="K1218" s="2" t="str">
        <f>J1218*92.23</f>
        <v>0</v>
      </c>
      <c r="L1218" s="5"/>
    </row>
    <row r="1219" spans="1:12" customHeight="1" ht="105" outlineLevel="4">
      <c r="A1219" s="1"/>
      <c r="B1219" s="1">
        <v>930378</v>
      </c>
      <c r="C1219" s="1" t="s">
        <v>3924</v>
      </c>
      <c r="D1219" s="1" t="s">
        <v>3925</v>
      </c>
      <c r="E1219" s="2" t="s">
        <v>3926</v>
      </c>
      <c r="F1219" s="2" t="s">
        <v>3927</v>
      </c>
      <c r="G1219" s="2" t="s">
        <v>74</v>
      </c>
      <c r="H1219" s="2">
        <v>0</v>
      </c>
      <c r="I1219" s="1">
        <v>0</v>
      </c>
      <c r="J1219" s="3" t="s">
        <v>447</v>
      </c>
      <c r="K1219" s="2" t="str">
        <f>J1219*98.18</f>
        <v>0</v>
      </c>
      <c r="L1219" s="5"/>
    </row>
    <row r="1220" spans="1:12" customHeight="1" ht="105" outlineLevel="4">
      <c r="A1220" s="1"/>
      <c r="B1220" s="1">
        <v>930379</v>
      </c>
      <c r="C1220" s="1" t="s">
        <v>3928</v>
      </c>
      <c r="D1220" s="1" t="s">
        <v>3929</v>
      </c>
      <c r="E1220" s="2" t="s">
        <v>3930</v>
      </c>
      <c r="F1220" s="2" t="s">
        <v>3788</v>
      </c>
      <c r="G1220" s="2" t="s">
        <v>74</v>
      </c>
      <c r="H1220" s="2">
        <v>0</v>
      </c>
      <c r="I1220" s="1">
        <v>0</v>
      </c>
      <c r="J1220" s="3" t="s">
        <v>447</v>
      </c>
      <c r="K1220" s="2" t="str">
        <f>J1220*132.39</f>
        <v>0</v>
      </c>
      <c r="L1220" s="5"/>
    </row>
    <row r="1221" spans="1:12" customHeight="1" ht="105" outlineLevel="4">
      <c r="A1221" s="1"/>
      <c r="B1221" s="1">
        <v>930380</v>
      </c>
      <c r="C1221" s="1" t="s">
        <v>3931</v>
      </c>
      <c r="D1221" s="1" t="s">
        <v>3932</v>
      </c>
      <c r="E1221" s="2" t="s">
        <v>3933</v>
      </c>
      <c r="F1221" s="2" t="s">
        <v>3876</v>
      </c>
      <c r="G1221" s="2" t="s">
        <v>74</v>
      </c>
      <c r="H1221" s="2">
        <v>0</v>
      </c>
      <c r="I1221" s="1">
        <v>0</v>
      </c>
      <c r="J1221" s="3" t="s">
        <v>447</v>
      </c>
      <c r="K1221" s="2" t="str">
        <f>J1221*123.46</f>
        <v>0</v>
      </c>
      <c r="L1221" s="5"/>
    </row>
    <row r="1222" spans="1:12" customHeight="1" ht="105" outlineLevel="4">
      <c r="A1222" s="1"/>
      <c r="B1222" s="1">
        <v>930381</v>
      </c>
      <c r="C1222" s="1" t="s">
        <v>3934</v>
      </c>
      <c r="D1222" s="1" t="s">
        <v>3935</v>
      </c>
      <c r="E1222" s="2" t="s">
        <v>3936</v>
      </c>
      <c r="F1222" s="2" t="s">
        <v>3792</v>
      </c>
      <c r="G1222" s="2" t="s">
        <v>74</v>
      </c>
      <c r="H1222" s="2">
        <v>0</v>
      </c>
      <c r="I1222" s="1">
        <v>0</v>
      </c>
      <c r="J1222" s="3" t="s">
        <v>447</v>
      </c>
      <c r="K1222" s="2" t="str">
        <f>J1222*105.61</f>
        <v>0</v>
      </c>
      <c r="L1222" s="5"/>
    </row>
    <row r="1223" spans="1:12" customHeight="1" ht="105" outlineLevel="4">
      <c r="A1223" s="1"/>
      <c r="B1223" s="1">
        <v>930382</v>
      </c>
      <c r="C1223" s="1" t="s">
        <v>3937</v>
      </c>
      <c r="D1223" s="1" t="s">
        <v>3938</v>
      </c>
      <c r="E1223" s="2" t="s">
        <v>3939</v>
      </c>
      <c r="F1223" s="2" t="s">
        <v>3679</v>
      </c>
      <c r="G1223" s="2" t="s">
        <v>74</v>
      </c>
      <c r="H1223" s="2">
        <v>0</v>
      </c>
      <c r="I1223" s="1">
        <v>0</v>
      </c>
      <c r="J1223" s="3" t="s">
        <v>447</v>
      </c>
      <c r="K1223" s="2" t="str">
        <f>J1223*139.83</f>
        <v>0</v>
      </c>
      <c r="L1223" s="5"/>
    </row>
    <row r="1224" spans="1:12" customHeight="1" ht="105" outlineLevel="4">
      <c r="A1224" s="1"/>
      <c r="B1224" s="1">
        <v>930383</v>
      </c>
      <c r="C1224" s="1" t="s">
        <v>3940</v>
      </c>
      <c r="D1224" s="1" t="s">
        <v>3941</v>
      </c>
      <c r="E1224" s="2" t="s">
        <v>3942</v>
      </c>
      <c r="F1224" s="2" t="s">
        <v>3943</v>
      </c>
      <c r="G1224" s="2" t="s">
        <v>74</v>
      </c>
      <c r="H1224" s="2">
        <v>0</v>
      </c>
      <c r="I1224" s="1">
        <v>0</v>
      </c>
      <c r="J1224" s="3" t="s">
        <v>447</v>
      </c>
      <c r="K1224" s="2" t="str">
        <f>J1224*182.96</f>
        <v>0</v>
      </c>
      <c r="L1224" s="5"/>
    </row>
    <row r="1225" spans="1:12" customHeight="1" ht="105" outlineLevel="4">
      <c r="A1225" s="1"/>
      <c r="B1225" s="1">
        <v>930386</v>
      </c>
      <c r="C1225" s="1" t="s">
        <v>3944</v>
      </c>
      <c r="D1225" s="1" t="s">
        <v>3945</v>
      </c>
      <c r="E1225" s="2" t="s">
        <v>3946</v>
      </c>
      <c r="F1225" s="2" t="s">
        <v>3947</v>
      </c>
      <c r="G1225" s="2" t="s">
        <v>74</v>
      </c>
      <c r="H1225" s="2">
        <v>0</v>
      </c>
      <c r="I1225" s="1">
        <v>0</v>
      </c>
      <c r="J1225" s="3" t="s">
        <v>447</v>
      </c>
      <c r="K1225" s="2" t="str">
        <f>J1225*203.79</f>
        <v>0</v>
      </c>
      <c r="L1225" s="5"/>
    </row>
    <row r="1226" spans="1:12" customHeight="1" ht="105" outlineLevel="4">
      <c r="A1226" s="1"/>
      <c r="B1226" s="1">
        <v>930387</v>
      </c>
      <c r="C1226" s="1" t="s">
        <v>3948</v>
      </c>
      <c r="D1226" s="1" t="s">
        <v>3949</v>
      </c>
      <c r="E1226" s="2" t="s">
        <v>3950</v>
      </c>
      <c r="F1226" s="2" t="s">
        <v>3951</v>
      </c>
      <c r="G1226" s="2" t="s">
        <v>74</v>
      </c>
      <c r="H1226" s="2">
        <v>0</v>
      </c>
      <c r="I1226" s="1">
        <v>0</v>
      </c>
      <c r="J1226" s="3" t="s">
        <v>447</v>
      </c>
      <c r="K1226" s="2" t="str">
        <f>J1226*226.10</f>
        <v>0</v>
      </c>
      <c r="L1226" s="5"/>
    </row>
    <row r="1227" spans="1:12" customHeight="1" ht="105" outlineLevel="4">
      <c r="A1227" s="1"/>
      <c r="B1227" s="1">
        <v>930388</v>
      </c>
      <c r="C1227" s="1" t="s">
        <v>3952</v>
      </c>
      <c r="D1227" s="1" t="s">
        <v>3953</v>
      </c>
      <c r="E1227" s="2" t="s">
        <v>3954</v>
      </c>
      <c r="F1227" s="2" t="s">
        <v>3955</v>
      </c>
      <c r="G1227" s="2" t="s">
        <v>74</v>
      </c>
      <c r="H1227" s="2">
        <v>0</v>
      </c>
      <c r="I1227" s="1">
        <v>0</v>
      </c>
      <c r="J1227" s="3" t="s">
        <v>447</v>
      </c>
      <c r="K1227" s="2" t="str">
        <f>J1227*395.68</f>
        <v>0</v>
      </c>
      <c r="L1227" s="5"/>
    </row>
    <row r="1228" spans="1:12" customHeight="1" ht="105" outlineLevel="4">
      <c r="A1228" s="1"/>
      <c r="B1228" s="1">
        <v>930389</v>
      </c>
      <c r="C1228" s="1" t="s">
        <v>3956</v>
      </c>
      <c r="D1228" s="1" t="s">
        <v>3957</v>
      </c>
      <c r="E1228" s="2" t="s">
        <v>3958</v>
      </c>
      <c r="F1228" s="2" t="s">
        <v>3959</v>
      </c>
      <c r="G1228" s="2" t="s">
        <v>74</v>
      </c>
      <c r="H1228" s="2">
        <v>0</v>
      </c>
      <c r="I1228" s="1">
        <v>0</v>
      </c>
      <c r="J1228" s="3" t="s">
        <v>447</v>
      </c>
      <c r="K1228" s="2" t="str">
        <f>J1228*711.03</f>
        <v>0</v>
      </c>
      <c r="L1228" s="5"/>
    </row>
    <row r="1229" spans="1:12" customHeight="1" ht="105" outlineLevel="4">
      <c r="A1229" s="1"/>
      <c r="B1229" s="1">
        <v>930390</v>
      </c>
      <c r="C1229" s="1" t="s">
        <v>3960</v>
      </c>
      <c r="D1229" s="1" t="s">
        <v>3961</v>
      </c>
      <c r="E1229" s="2" t="s">
        <v>3962</v>
      </c>
      <c r="F1229" s="2" t="s">
        <v>3963</v>
      </c>
      <c r="G1229" s="2" t="s">
        <v>74</v>
      </c>
      <c r="H1229" s="2">
        <v>0</v>
      </c>
      <c r="I1229" s="1">
        <v>0</v>
      </c>
      <c r="J1229" s="3" t="s">
        <v>447</v>
      </c>
      <c r="K1229" s="2" t="str">
        <f>J1229*400.14</f>
        <v>0</v>
      </c>
      <c r="L1229" s="5"/>
    </row>
    <row r="1230" spans="1:12" customHeight="1" ht="105" outlineLevel="4">
      <c r="A1230" s="1"/>
      <c r="B1230" s="1">
        <v>930391</v>
      </c>
      <c r="C1230" s="1" t="s">
        <v>3964</v>
      </c>
      <c r="D1230" s="1" t="s">
        <v>3965</v>
      </c>
      <c r="E1230" s="2" t="s">
        <v>3966</v>
      </c>
      <c r="F1230" s="2" t="s">
        <v>3959</v>
      </c>
      <c r="G1230" s="2" t="s">
        <v>74</v>
      </c>
      <c r="H1230" s="2">
        <v>0</v>
      </c>
      <c r="I1230" s="1">
        <v>0</v>
      </c>
      <c r="J1230" s="3" t="s">
        <v>447</v>
      </c>
      <c r="K1230" s="2" t="str">
        <f>J1230*711.03</f>
        <v>0</v>
      </c>
      <c r="L1230" s="5"/>
    </row>
    <row r="1231" spans="1:12" customHeight="1" ht="105" outlineLevel="4">
      <c r="A1231" s="1"/>
      <c r="B1231" s="1">
        <v>930392</v>
      </c>
      <c r="C1231" s="1" t="s">
        <v>3967</v>
      </c>
      <c r="D1231" s="1" t="s">
        <v>3968</v>
      </c>
      <c r="E1231" s="2" t="s">
        <v>3969</v>
      </c>
      <c r="F1231" s="2" t="s">
        <v>3727</v>
      </c>
      <c r="G1231" s="2" t="s">
        <v>153</v>
      </c>
      <c r="H1231" s="2">
        <v>0</v>
      </c>
      <c r="I1231" s="1">
        <v>0</v>
      </c>
      <c r="J1231" s="3" t="s">
        <v>447</v>
      </c>
      <c r="K1231" s="2" t="str">
        <f>J1231*230.56</f>
        <v>0</v>
      </c>
      <c r="L1231" s="5"/>
    </row>
    <row r="1232" spans="1:12" customHeight="1" ht="105" outlineLevel="4">
      <c r="A1232" s="1"/>
      <c r="B1232" s="1">
        <v>930393</v>
      </c>
      <c r="C1232" s="1" t="s">
        <v>3970</v>
      </c>
      <c r="D1232" s="1" t="s">
        <v>3971</v>
      </c>
      <c r="E1232" s="2" t="s">
        <v>3972</v>
      </c>
      <c r="F1232" s="2" t="s">
        <v>3973</v>
      </c>
      <c r="G1232" s="2" t="s">
        <v>153</v>
      </c>
      <c r="H1232" s="2">
        <v>0</v>
      </c>
      <c r="I1232" s="1">
        <v>0</v>
      </c>
      <c r="J1232" s="3" t="s">
        <v>447</v>
      </c>
      <c r="K1232" s="2" t="str">
        <f>J1232*223.13</f>
        <v>0</v>
      </c>
      <c r="L1232" s="5"/>
    </row>
    <row r="1233" spans="1:12" customHeight="1" ht="105" outlineLevel="4">
      <c r="A1233" s="1"/>
      <c r="B1233" s="1">
        <v>930394</v>
      </c>
      <c r="C1233" s="1" t="s">
        <v>3974</v>
      </c>
      <c r="D1233" s="1" t="s">
        <v>3975</v>
      </c>
      <c r="E1233" s="2" t="s">
        <v>3976</v>
      </c>
      <c r="F1233" s="2" t="s">
        <v>3545</v>
      </c>
      <c r="G1233" s="2" t="s">
        <v>153</v>
      </c>
      <c r="H1233" s="2">
        <v>0</v>
      </c>
      <c r="I1233" s="1">
        <v>0</v>
      </c>
      <c r="J1233" s="3" t="s">
        <v>447</v>
      </c>
      <c r="K1233" s="2" t="str">
        <f>J1233*177.01</f>
        <v>0</v>
      </c>
      <c r="L1233" s="5"/>
    </row>
    <row r="1234" spans="1:12" customHeight="1" ht="105" outlineLevel="4">
      <c r="A1234" s="1"/>
      <c r="B1234" s="1">
        <v>930395</v>
      </c>
      <c r="C1234" s="1" t="s">
        <v>3977</v>
      </c>
      <c r="D1234" s="1" t="s">
        <v>3978</v>
      </c>
      <c r="E1234" s="2" t="s">
        <v>3979</v>
      </c>
      <c r="F1234" s="2" t="s">
        <v>3537</v>
      </c>
      <c r="G1234" s="2" t="s">
        <v>153</v>
      </c>
      <c r="H1234" s="2">
        <v>0</v>
      </c>
      <c r="I1234" s="1">
        <v>0</v>
      </c>
      <c r="J1234" s="3" t="s">
        <v>447</v>
      </c>
      <c r="K1234" s="2" t="str">
        <f>J1234*185.94</f>
        <v>0</v>
      </c>
      <c r="L1234" s="5"/>
    </row>
    <row r="1235" spans="1:12" customHeight="1" ht="105" outlineLevel="4">
      <c r="A1235" s="1"/>
      <c r="B1235" s="1">
        <v>930396</v>
      </c>
      <c r="C1235" s="1" t="s">
        <v>3980</v>
      </c>
      <c r="D1235" s="1" t="s">
        <v>3981</v>
      </c>
      <c r="E1235" s="2" t="s">
        <v>3982</v>
      </c>
      <c r="F1235" s="2" t="s">
        <v>3599</v>
      </c>
      <c r="G1235" s="2" t="s">
        <v>152</v>
      </c>
      <c r="H1235" s="2">
        <v>0</v>
      </c>
      <c r="I1235" s="1">
        <v>0</v>
      </c>
      <c r="J1235" s="3" t="s">
        <v>447</v>
      </c>
      <c r="K1235" s="2" t="str">
        <f>J1235*92.23</f>
        <v>0</v>
      </c>
      <c r="L1235" s="5"/>
    </row>
    <row r="1236" spans="1:12" customHeight="1" ht="105" outlineLevel="4">
      <c r="A1236" s="1"/>
      <c r="B1236" s="1">
        <v>930397</v>
      </c>
      <c r="C1236" s="1" t="s">
        <v>3983</v>
      </c>
      <c r="D1236" s="1" t="s">
        <v>3984</v>
      </c>
      <c r="E1236" s="2" t="s">
        <v>3985</v>
      </c>
      <c r="F1236" s="2" t="s">
        <v>3986</v>
      </c>
      <c r="G1236" s="2">
        <v>0</v>
      </c>
      <c r="H1236" s="2">
        <v>0</v>
      </c>
      <c r="I1236" s="1" t="s">
        <v>153</v>
      </c>
      <c r="J1236" s="3" t="s">
        <v>447</v>
      </c>
      <c r="K1236" s="2" t="str">
        <f>J1236*141.31</f>
        <v>0</v>
      </c>
      <c r="L1236" s="5"/>
    </row>
    <row r="1237" spans="1:12" customHeight="1" ht="105" outlineLevel="4">
      <c r="A1237" s="1"/>
      <c r="B1237" s="1">
        <v>930398</v>
      </c>
      <c r="C1237" s="1" t="s">
        <v>3987</v>
      </c>
      <c r="D1237" s="1" t="s">
        <v>3988</v>
      </c>
      <c r="E1237" s="2" t="s">
        <v>3989</v>
      </c>
      <c r="F1237" s="2" t="s">
        <v>3990</v>
      </c>
      <c r="G1237" s="2">
        <v>0</v>
      </c>
      <c r="H1237" s="2">
        <v>0</v>
      </c>
      <c r="I1237" s="1" t="s">
        <v>153</v>
      </c>
      <c r="J1237" s="3" t="s">
        <v>447</v>
      </c>
      <c r="K1237" s="2" t="str">
        <f>J1237*60.99</f>
        <v>0</v>
      </c>
      <c r="L1237" s="5"/>
    </row>
    <row r="1238" spans="1:12" customHeight="1" ht="105" outlineLevel="4">
      <c r="A1238" s="1"/>
      <c r="B1238" s="1">
        <v>930399</v>
      </c>
      <c r="C1238" s="1" t="s">
        <v>3991</v>
      </c>
      <c r="D1238" s="1" t="s">
        <v>3992</v>
      </c>
      <c r="E1238" s="2" t="s">
        <v>3993</v>
      </c>
      <c r="F1238" s="2" t="s">
        <v>3994</v>
      </c>
      <c r="G1238" s="2" t="s">
        <v>153</v>
      </c>
      <c r="H1238" s="2">
        <v>0</v>
      </c>
      <c r="I1238" s="1">
        <v>0</v>
      </c>
      <c r="J1238" s="3" t="s">
        <v>447</v>
      </c>
      <c r="K1238" s="2" t="str">
        <f>J1238*111.56</f>
        <v>0</v>
      </c>
      <c r="L1238" s="5"/>
    </row>
    <row r="1239" spans="1:12" customHeight="1" ht="105" outlineLevel="4">
      <c r="A1239" s="1"/>
      <c r="B1239" s="1">
        <v>930400</v>
      </c>
      <c r="C1239" s="1" t="s">
        <v>3995</v>
      </c>
      <c r="D1239" s="1" t="s">
        <v>3996</v>
      </c>
      <c r="E1239" s="2" t="s">
        <v>3997</v>
      </c>
      <c r="F1239" s="2" t="s">
        <v>3951</v>
      </c>
      <c r="G1239" s="2" t="s">
        <v>152</v>
      </c>
      <c r="H1239" s="2">
        <v>0</v>
      </c>
      <c r="I1239" s="1">
        <v>0</v>
      </c>
      <c r="J1239" s="3" t="s">
        <v>447</v>
      </c>
      <c r="K1239" s="2" t="str">
        <f>J1239*226.10</f>
        <v>0</v>
      </c>
      <c r="L1239" s="5"/>
    </row>
    <row r="1240" spans="1:12" outlineLevel="2">
      <c r="A1240" s="8" t="s">
        <v>3998</v>
      </c>
      <c r="B1240" s="8"/>
      <c r="C1240" s="8"/>
      <c r="D1240" s="8"/>
      <c r="E1240" s="8"/>
      <c r="F1240" s="8"/>
      <c r="G1240" s="8"/>
      <c r="H1240" s="8"/>
      <c r="I1240" s="8"/>
      <c r="J1240" s="8"/>
      <c r="K1240" s="8"/>
      <c r="L1240" s="5"/>
    </row>
    <row r="1241" spans="1:12" customHeight="1" ht="105" outlineLevel="4">
      <c r="A1241" s="1"/>
      <c r="B1241" s="1">
        <v>930295</v>
      </c>
      <c r="C1241" s="1" t="s">
        <v>3999</v>
      </c>
      <c r="D1241" s="1" t="s">
        <v>4000</v>
      </c>
      <c r="E1241" s="2" t="s">
        <v>4001</v>
      </c>
      <c r="F1241" s="2" t="s">
        <v>4002</v>
      </c>
      <c r="G1241" s="2">
        <v>0</v>
      </c>
      <c r="H1241" s="2">
        <v>0</v>
      </c>
      <c r="I1241" s="1">
        <v>0</v>
      </c>
      <c r="J1241" s="3" t="s">
        <v>447</v>
      </c>
      <c r="K1241" s="2" t="str">
        <f>J1241*1401.76</f>
        <v>0</v>
      </c>
      <c r="L1241" s="5"/>
    </row>
    <row r="1242" spans="1:12" customHeight="1" ht="105" outlineLevel="4">
      <c r="A1242" s="1"/>
      <c r="B1242" s="1">
        <v>930296</v>
      </c>
      <c r="C1242" s="1" t="s">
        <v>4003</v>
      </c>
      <c r="D1242" s="1" t="s">
        <v>4004</v>
      </c>
      <c r="E1242" s="2" t="s">
        <v>4005</v>
      </c>
      <c r="F1242" s="2" t="s">
        <v>4006</v>
      </c>
      <c r="G1242" s="2">
        <v>0</v>
      </c>
      <c r="H1242" s="2">
        <v>0</v>
      </c>
      <c r="I1242" s="1">
        <v>0</v>
      </c>
      <c r="J1242" s="3" t="s">
        <v>447</v>
      </c>
      <c r="K1242" s="2" t="str">
        <f>J1242*1699.58</f>
        <v>0</v>
      </c>
      <c r="L1242" s="5"/>
    </row>
    <row r="1243" spans="1:12" customHeight="1" ht="105" outlineLevel="4">
      <c r="A1243" s="1"/>
      <c r="B1243" s="1">
        <v>930297</v>
      </c>
      <c r="C1243" s="1" t="s">
        <v>4007</v>
      </c>
      <c r="D1243" s="1" t="s">
        <v>4008</v>
      </c>
      <c r="E1243" s="2" t="s">
        <v>4009</v>
      </c>
      <c r="F1243" s="2" t="s">
        <v>4010</v>
      </c>
      <c r="G1243" s="2">
        <v>0</v>
      </c>
      <c r="H1243" s="2">
        <v>0</v>
      </c>
      <c r="I1243" s="1">
        <v>0</v>
      </c>
      <c r="J1243" s="3" t="s">
        <v>447</v>
      </c>
      <c r="K1243" s="2" t="str">
        <f>J1243*3931.28</f>
        <v>0</v>
      </c>
      <c r="L1243" s="5"/>
    </row>
    <row r="1244" spans="1:12" customHeight="1" ht="105" outlineLevel="4">
      <c r="A1244" s="1"/>
      <c r="B1244" s="1">
        <v>930298</v>
      </c>
      <c r="C1244" s="1" t="s">
        <v>4011</v>
      </c>
      <c r="D1244" s="1" t="s">
        <v>4012</v>
      </c>
      <c r="E1244" s="2" t="s">
        <v>4013</v>
      </c>
      <c r="F1244" s="2" t="s">
        <v>4014</v>
      </c>
      <c r="G1244" s="2">
        <v>0</v>
      </c>
      <c r="H1244" s="2">
        <v>0</v>
      </c>
      <c r="I1244" s="1">
        <v>0</v>
      </c>
      <c r="J1244" s="3" t="s">
        <v>447</v>
      </c>
      <c r="K1244" s="2" t="str">
        <f>J1244*5571.29</f>
        <v>0</v>
      </c>
      <c r="L1244" s="5"/>
    </row>
    <row r="1245" spans="1:12" customHeight="1" ht="105" outlineLevel="4">
      <c r="A1245" s="1"/>
      <c r="B1245" s="1">
        <v>930299</v>
      </c>
      <c r="C1245" s="1" t="s">
        <v>4015</v>
      </c>
      <c r="D1245" s="1" t="s">
        <v>4016</v>
      </c>
      <c r="E1245" s="2" t="s">
        <v>4017</v>
      </c>
      <c r="F1245" s="2" t="s">
        <v>4018</v>
      </c>
      <c r="G1245" s="2">
        <v>0</v>
      </c>
      <c r="H1245" s="2">
        <v>0</v>
      </c>
      <c r="I1245" s="1">
        <v>0</v>
      </c>
      <c r="J1245" s="3" t="s">
        <v>447</v>
      </c>
      <c r="K1245" s="2" t="str">
        <f>J1245*2362.64</f>
        <v>0</v>
      </c>
      <c r="L1245" s="5"/>
    </row>
    <row r="1246" spans="1:12" customHeight="1" ht="105" outlineLevel="4">
      <c r="A1246" s="1"/>
      <c r="B1246" s="1">
        <v>930300</v>
      </c>
      <c r="C1246" s="1" t="s">
        <v>4019</v>
      </c>
      <c r="D1246" s="1" t="s">
        <v>4020</v>
      </c>
      <c r="E1246" s="2" t="s">
        <v>4021</v>
      </c>
      <c r="F1246" s="2" t="s">
        <v>4022</v>
      </c>
      <c r="G1246" s="2">
        <v>0</v>
      </c>
      <c r="H1246" s="2">
        <v>0</v>
      </c>
      <c r="I1246" s="1">
        <v>0</v>
      </c>
      <c r="J1246" s="3" t="s">
        <v>447</v>
      </c>
      <c r="K1246" s="2" t="str">
        <f>J1246*3006.99</f>
        <v>0</v>
      </c>
      <c r="L1246" s="5"/>
    </row>
    <row r="1247" spans="1:12" customHeight="1" ht="105" outlineLevel="4">
      <c r="A1247" s="1"/>
      <c r="B1247" s="1">
        <v>930301</v>
      </c>
      <c r="C1247" s="1" t="s">
        <v>4023</v>
      </c>
      <c r="D1247" s="1" t="s">
        <v>4024</v>
      </c>
      <c r="E1247" s="2" t="s">
        <v>4025</v>
      </c>
      <c r="F1247" s="2" t="s">
        <v>4026</v>
      </c>
      <c r="G1247" s="2">
        <v>0</v>
      </c>
      <c r="H1247" s="2">
        <v>0</v>
      </c>
      <c r="I1247" s="1">
        <v>0</v>
      </c>
      <c r="J1247" s="3" t="s">
        <v>447</v>
      </c>
      <c r="K1247" s="2" t="str">
        <f>J1247*4027.22</f>
        <v>0</v>
      </c>
      <c r="L1247" s="5"/>
    </row>
    <row r="1248" spans="1:12" customHeight="1" ht="105" outlineLevel="4">
      <c r="A1248" s="1"/>
      <c r="B1248" s="1">
        <v>930302</v>
      </c>
      <c r="C1248" s="1" t="s">
        <v>4027</v>
      </c>
      <c r="D1248" s="1" t="s">
        <v>4028</v>
      </c>
      <c r="E1248" s="2" t="s">
        <v>4029</v>
      </c>
      <c r="F1248" s="2" t="s">
        <v>4030</v>
      </c>
      <c r="G1248" s="2">
        <v>0</v>
      </c>
      <c r="H1248" s="2">
        <v>0</v>
      </c>
      <c r="I1248" s="1">
        <v>0</v>
      </c>
      <c r="J1248" s="3" t="s">
        <v>447</v>
      </c>
      <c r="K1248" s="2" t="str">
        <f>J1248*4993.76</f>
        <v>0</v>
      </c>
      <c r="L1248" s="5"/>
    </row>
    <row r="1249" spans="1:12" customHeight="1" ht="105" outlineLevel="4">
      <c r="A1249" s="1"/>
      <c r="B1249" s="1">
        <v>930303</v>
      </c>
      <c r="C1249" s="1" t="s">
        <v>4031</v>
      </c>
      <c r="D1249" s="1" t="s">
        <v>4032</v>
      </c>
      <c r="E1249" s="2" t="s">
        <v>4033</v>
      </c>
      <c r="F1249" s="2" t="s">
        <v>4034</v>
      </c>
      <c r="G1249" s="2">
        <v>0</v>
      </c>
      <c r="H1249" s="2">
        <v>0</v>
      </c>
      <c r="I1249" s="1">
        <v>0</v>
      </c>
      <c r="J1249" s="3" t="s">
        <v>447</v>
      </c>
      <c r="K1249" s="2" t="str">
        <f>J1249*5827.83</f>
        <v>0</v>
      </c>
      <c r="L1249" s="5"/>
    </row>
    <row r="1250" spans="1:12" customHeight="1" ht="105" outlineLevel="4">
      <c r="A1250" s="1"/>
      <c r="B1250" s="1">
        <v>930304</v>
      </c>
      <c r="C1250" s="1" t="s">
        <v>4035</v>
      </c>
      <c r="D1250" s="1" t="s">
        <v>4036</v>
      </c>
      <c r="E1250" s="2" t="s">
        <v>4037</v>
      </c>
      <c r="F1250" s="2" t="s">
        <v>4038</v>
      </c>
      <c r="G1250" s="2">
        <v>0</v>
      </c>
      <c r="H1250" s="2">
        <v>0</v>
      </c>
      <c r="I1250" s="1">
        <v>0</v>
      </c>
      <c r="J1250" s="3" t="s">
        <v>447</v>
      </c>
      <c r="K1250" s="2" t="str">
        <f>J1250*7331.33</f>
        <v>0</v>
      </c>
      <c r="L1250" s="5"/>
    </row>
    <row r="1251" spans="1:12" customHeight="1" ht="105" outlineLevel="4">
      <c r="A1251" s="1"/>
      <c r="B1251" s="1">
        <v>930305</v>
      </c>
      <c r="C1251" s="1" t="s">
        <v>4039</v>
      </c>
      <c r="D1251" s="1" t="s">
        <v>4040</v>
      </c>
      <c r="E1251" s="2" t="s">
        <v>4041</v>
      </c>
      <c r="F1251" s="2" t="s">
        <v>4042</v>
      </c>
      <c r="G1251" s="2">
        <v>0</v>
      </c>
      <c r="H1251" s="2">
        <v>0</v>
      </c>
      <c r="I1251" s="1">
        <v>0</v>
      </c>
      <c r="J1251" s="3" t="s">
        <v>447</v>
      </c>
      <c r="K1251" s="2" t="str">
        <f>J1251*15410.84</f>
        <v>0</v>
      </c>
      <c r="L1251" s="5"/>
    </row>
    <row r="1252" spans="1:12" customHeight="1" ht="105" outlineLevel="4">
      <c r="A1252" s="1"/>
      <c r="B1252" s="1">
        <v>930306</v>
      </c>
      <c r="C1252" s="1" t="s">
        <v>4043</v>
      </c>
      <c r="D1252" s="1" t="s">
        <v>4044</v>
      </c>
      <c r="E1252" s="2" t="s">
        <v>4045</v>
      </c>
      <c r="F1252" s="2" t="s">
        <v>4046</v>
      </c>
      <c r="G1252" s="2">
        <v>0</v>
      </c>
      <c r="H1252" s="2">
        <v>0</v>
      </c>
      <c r="I1252" s="1">
        <v>0</v>
      </c>
      <c r="J1252" s="3" t="s">
        <v>447</v>
      </c>
      <c r="K1252" s="2" t="str">
        <f>J1252*20755.42</f>
        <v>0</v>
      </c>
      <c r="L1252" s="5"/>
    </row>
    <row r="1253" spans="1:12" customHeight="1" ht="105" outlineLevel="4">
      <c r="A1253" s="1"/>
      <c r="B1253" s="1">
        <v>930307</v>
      </c>
      <c r="C1253" s="1" t="s">
        <v>4047</v>
      </c>
      <c r="D1253" s="1" t="s">
        <v>4048</v>
      </c>
      <c r="E1253" s="2" t="s">
        <v>4049</v>
      </c>
      <c r="F1253" s="2" t="s">
        <v>4050</v>
      </c>
      <c r="G1253" s="2">
        <v>0</v>
      </c>
      <c r="H1253" s="2">
        <v>0</v>
      </c>
      <c r="I1253" s="1">
        <v>0</v>
      </c>
      <c r="J1253" s="3" t="s">
        <v>447</v>
      </c>
      <c r="K1253" s="2" t="str">
        <f>J1253*24754.01</f>
        <v>0</v>
      </c>
      <c r="L1253" s="5"/>
    </row>
    <row r="1254" spans="1:12" customHeight="1" ht="105" outlineLevel="4">
      <c r="A1254" s="1"/>
      <c r="B1254" s="1">
        <v>930308</v>
      </c>
      <c r="C1254" s="1" t="s">
        <v>4051</v>
      </c>
      <c r="D1254" s="1" t="s">
        <v>4052</v>
      </c>
      <c r="E1254" s="2" t="s">
        <v>4053</v>
      </c>
      <c r="F1254" s="2" t="s">
        <v>4054</v>
      </c>
      <c r="G1254" s="2">
        <v>0</v>
      </c>
      <c r="H1254" s="2">
        <v>0</v>
      </c>
      <c r="I1254" s="1">
        <v>0</v>
      </c>
      <c r="J1254" s="3" t="s">
        <v>447</v>
      </c>
      <c r="K1254" s="2" t="str">
        <f>J1254*10042.48</f>
        <v>0</v>
      </c>
      <c r="L1254" s="5"/>
    </row>
    <row r="1255" spans="1:12" customHeight="1" ht="105" outlineLevel="4">
      <c r="A1255" s="1"/>
      <c r="B1255" s="1">
        <v>930309</v>
      </c>
      <c r="C1255" s="1" t="s">
        <v>4055</v>
      </c>
      <c r="D1255" s="1" t="s">
        <v>4056</v>
      </c>
      <c r="E1255" s="2" t="s">
        <v>4057</v>
      </c>
      <c r="F1255" s="2" t="s">
        <v>4058</v>
      </c>
      <c r="G1255" s="2">
        <v>0</v>
      </c>
      <c r="H1255" s="2">
        <v>0</v>
      </c>
      <c r="I1255" s="1">
        <v>0</v>
      </c>
      <c r="J1255" s="3" t="s">
        <v>447</v>
      </c>
      <c r="K1255" s="2" t="str">
        <f>J1255*18714.75</f>
        <v>0</v>
      </c>
      <c r="L1255" s="5"/>
    </row>
    <row r="1256" spans="1:12" customHeight="1" ht="105" outlineLevel="4">
      <c r="A1256" s="1"/>
      <c r="B1256" s="1">
        <v>930310</v>
      </c>
      <c r="C1256" s="1" t="s">
        <v>4059</v>
      </c>
      <c r="D1256" s="1" t="s">
        <v>4060</v>
      </c>
      <c r="E1256" s="2" t="s">
        <v>4061</v>
      </c>
      <c r="F1256" s="2" t="s">
        <v>4062</v>
      </c>
      <c r="G1256" s="2">
        <v>0</v>
      </c>
      <c r="H1256" s="2">
        <v>0</v>
      </c>
      <c r="I1256" s="1">
        <v>0</v>
      </c>
      <c r="J1256" s="3" t="s">
        <v>447</v>
      </c>
      <c r="K1256" s="2" t="str">
        <f>J1256*32867.88</f>
        <v>0</v>
      </c>
      <c r="L1256" s="5"/>
    </row>
    <row r="1257" spans="1:12" customHeight="1" ht="105" outlineLevel="4">
      <c r="A1257" s="1"/>
      <c r="B1257" s="1">
        <v>930311</v>
      </c>
      <c r="C1257" s="1" t="s">
        <v>4063</v>
      </c>
      <c r="D1257" s="1" t="s">
        <v>4064</v>
      </c>
      <c r="E1257" s="2" t="s">
        <v>4065</v>
      </c>
      <c r="F1257" s="2" t="s">
        <v>4066</v>
      </c>
      <c r="G1257" s="2">
        <v>0</v>
      </c>
      <c r="H1257" s="2">
        <v>0</v>
      </c>
      <c r="I1257" s="1">
        <v>0</v>
      </c>
      <c r="J1257" s="3" t="s">
        <v>447</v>
      </c>
      <c r="K1257" s="2" t="str">
        <f>J1257*49778.80</f>
        <v>0</v>
      </c>
      <c r="L1257" s="5"/>
    </row>
    <row r="1258" spans="1:12" customHeight="1" ht="105" outlineLevel="4">
      <c r="A1258" s="1"/>
      <c r="B1258" s="1">
        <v>930312</v>
      </c>
      <c r="C1258" s="1" t="s">
        <v>4067</v>
      </c>
      <c r="D1258" s="1" t="s">
        <v>4068</v>
      </c>
      <c r="E1258" s="2" t="s">
        <v>4069</v>
      </c>
      <c r="F1258" s="2" t="s">
        <v>4070</v>
      </c>
      <c r="G1258" s="2">
        <v>0</v>
      </c>
      <c r="H1258" s="2">
        <v>0</v>
      </c>
      <c r="I1258" s="1">
        <v>0</v>
      </c>
      <c r="J1258" s="3" t="s">
        <v>447</v>
      </c>
      <c r="K1258" s="2" t="str">
        <f>J1258*1812.18</f>
        <v>0</v>
      </c>
      <c r="L1258" s="5"/>
    </row>
    <row r="1259" spans="1:12" customHeight="1" ht="105" outlineLevel="4">
      <c r="A1259" s="1"/>
      <c r="B1259" s="1">
        <v>930313</v>
      </c>
      <c r="C1259" s="1" t="s">
        <v>4071</v>
      </c>
      <c r="D1259" s="1" t="s">
        <v>4072</v>
      </c>
      <c r="E1259" s="2" t="s">
        <v>4073</v>
      </c>
      <c r="F1259" s="2" t="s">
        <v>4074</v>
      </c>
      <c r="G1259" s="2">
        <v>0</v>
      </c>
      <c r="H1259" s="2">
        <v>0</v>
      </c>
      <c r="I1259" s="1">
        <v>0</v>
      </c>
      <c r="J1259" s="3" t="s">
        <v>447</v>
      </c>
      <c r="K1259" s="2" t="str">
        <f>J1259*1955.64</f>
        <v>0</v>
      </c>
      <c r="L1259" s="5"/>
    </row>
    <row r="1260" spans="1:12" customHeight="1" ht="105" outlineLevel="4">
      <c r="A1260" s="1"/>
      <c r="B1260" s="1">
        <v>930314</v>
      </c>
      <c r="C1260" s="1" t="s">
        <v>4075</v>
      </c>
      <c r="D1260" s="1" t="s">
        <v>4076</v>
      </c>
      <c r="E1260" s="2" t="s">
        <v>4077</v>
      </c>
      <c r="F1260" s="2" t="s">
        <v>4078</v>
      </c>
      <c r="G1260" s="2">
        <v>0</v>
      </c>
      <c r="H1260" s="2">
        <v>0</v>
      </c>
      <c r="I1260" s="1">
        <v>0</v>
      </c>
      <c r="J1260" s="3" t="s">
        <v>447</v>
      </c>
      <c r="K1260" s="2" t="str">
        <f>J1260*2408.69</f>
        <v>0</v>
      </c>
      <c r="L1260" s="5"/>
    </row>
    <row r="1261" spans="1:12" customHeight="1" ht="105" outlineLevel="4">
      <c r="A1261" s="1"/>
      <c r="B1261" s="1">
        <v>930315</v>
      </c>
      <c r="C1261" s="1" t="s">
        <v>4079</v>
      </c>
      <c r="D1261" s="1" t="s">
        <v>4080</v>
      </c>
      <c r="E1261" s="2" t="s">
        <v>4081</v>
      </c>
      <c r="F1261" s="2" t="s">
        <v>4082</v>
      </c>
      <c r="G1261" s="2">
        <v>0</v>
      </c>
      <c r="H1261" s="2">
        <v>0</v>
      </c>
      <c r="I1261" s="1">
        <v>0</v>
      </c>
      <c r="J1261" s="3" t="s">
        <v>447</v>
      </c>
      <c r="K1261" s="2" t="str">
        <f>J1261*2661.64</f>
        <v>0</v>
      </c>
      <c r="L1261" s="5"/>
    </row>
    <row r="1262" spans="1:12" customHeight="1" ht="105" outlineLevel="4">
      <c r="A1262" s="1"/>
      <c r="B1262" s="1">
        <v>930316</v>
      </c>
      <c r="C1262" s="1" t="s">
        <v>4083</v>
      </c>
      <c r="D1262" s="1" t="s">
        <v>4084</v>
      </c>
      <c r="E1262" s="2" t="s">
        <v>4085</v>
      </c>
      <c r="F1262" s="2" t="s">
        <v>4086</v>
      </c>
      <c r="G1262" s="2">
        <v>0</v>
      </c>
      <c r="H1262" s="2">
        <v>0</v>
      </c>
      <c r="I1262" s="1">
        <v>0</v>
      </c>
      <c r="J1262" s="3" t="s">
        <v>447</v>
      </c>
      <c r="K1262" s="2" t="str">
        <f>J1262*3001.42</f>
        <v>0</v>
      </c>
      <c r="L1262" s="5"/>
    </row>
    <row r="1263" spans="1:12" customHeight="1" ht="105" outlineLevel="4">
      <c r="A1263" s="1"/>
      <c r="B1263" s="1">
        <v>930317</v>
      </c>
      <c r="C1263" s="1" t="s">
        <v>4087</v>
      </c>
      <c r="D1263" s="1" t="s">
        <v>4088</v>
      </c>
      <c r="E1263" s="2" t="s">
        <v>4089</v>
      </c>
      <c r="F1263" s="2" t="s">
        <v>4090</v>
      </c>
      <c r="G1263" s="2">
        <v>0</v>
      </c>
      <c r="H1263" s="2">
        <v>0</v>
      </c>
      <c r="I1263" s="1">
        <v>0</v>
      </c>
      <c r="J1263" s="3" t="s">
        <v>447</v>
      </c>
      <c r="K1263" s="2" t="str">
        <f>J1263*3907.50</f>
        <v>0</v>
      </c>
      <c r="L1263" s="5"/>
    </row>
    <row r="1264" spans="1:12" customHeight="1" ht="105" outlineLevel="4">
      <c r="A1264" s="1"/>
      <c r="B1264" s="1">
        <v>930318</v>
      </c>
      <c r="C1264" s="1" t="s">
        <v>4091</v>
      </c>
      <c r="D1264" s="1" t="s">
        <v>4092</v>
      </c>
      <c r="E1264" s="2" t="s">
        <v>4093</v>
      </c>
      <c r="F1264" s="2" t="s">
        <v>4094</v>
      </c>
      <c r="G1264" s="2">
        <v>0</v>
      </c>
      <c r="H1264" s="2">
        <v>0</v>
      </c>
      <c r="I1264" s="1">
        <v>0</v>
      </c>
      <c r="J1264" s="3" t="s">
        <v>447</v>
      </c>
      <c r="K1264" s="2" t="str">
        <f>J1264*8921.20</f>
        <v>0</v>
      </c>
      <c r="L1264" s="5"/>
    </row>
    <row r="1265" spans="1:12" customHeight="1" ht="105" outlineLevel="4">
      <c r="A1265" s="1"/>
      <c r="B1265" s="1">
        <v>930319</v>
      </c>
      <c r="C1265" s="1" t="s">
        <v>4095</v>
      </c>
      <c r="D1265" s="1" t="s">
        <v>4096</v>
      </c>
      <c r="E1265" s="2" t="s">
        <v>4097</v>
      </c>
      <c r="F1265" s="2" t="s">
        <v>4098</v>
      </c>
      <c r="G1265" s="2">
        <v>0</v>
      </c>
      <c r="H1265" s="2">
        <v>0</v>
      </c>
      <c r="I1265" s="1">
        <v>0</v>
      </c>
      <c r="J1265" s="3" t="s">
        <v>447</v>
      </c>
      <c r="K1265" s="2" t="str">
        <f>J1265*11779.15</f>
        <v>0</v>
      </c>
      <c r="L126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144:K144"/>
    <mergeCell ref="A4:K4"/>
    <mergeCell ref="A76:K76"/>
    <mergeCell ref="A119:K119"/>
    <mergeCell ref="A145:K145"/>
    <mergeCell ref="A605:K605"/>
    <mergeCell ref="A790:K790"/>
    <mergeCell ref="A1088:K1088"/>
    <mergeCell ref="A1240:K124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2026-02-25T01:44:14+03:00</dcterms:created>
  <dcterms:modified xsi:type="dcterms:W3CDTF">2026-02-25T01:44:14+03:00</dcterms:modified>
  <dc:title>Untitled Spreadsheet</dc:title>
  <dc:description/>
  <dc:subject/>
  <cp:keywords/>
  <cp:category/>
</cp:coreProperties>
</file>