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<sst xmlns="http://schemas.openxmlformats.org/spreadsheetml/2006/main" uniqueCount="1421">
  <si>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</si>
  <si>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</si>
  <si>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</si>
  <si>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</si>
  <si>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</si>
  <si>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</si>
  <si>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</si>
  <si>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</si>
  <si>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</si>
  <si>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</si>
  <si>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</si>
  <si>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Фитинги полипропиленовые</t>
  </si>
  <si>
    <t>Фитинги полипропиленовые TEBO</t>
  </si>
  <si>
    <t>ALT-110185</t>
  </si>
  <si>
    <t>PPR TEBO Муфта соединительная 20  (90/900шт)</t>
  </si>
  <si>
    <t>6.12 руб.</t>
  </si>
  <si>
    <t>&gt;100</t>
  </si>
  <si>
    <t>шт</t>
  </si>
  <si>
    <t>ALT-110186</t>
  </si>
  <si>
    <t>PPR TEBO Муфта соединительная 25  (50/600шт)</t>
  </si>
  <si>
    <t>9.52 руб.</t>
  </si>
  <si>
    <t>&gt;500</t>
  </si>
  <si>
    <t>ALT-110187</t>
  </si>
  <si>
    <t>PPR TEBO Муфта соединительная 32  (30/300шт)</t>
  </si>
  <si>
    <t>17.47 руб.</t>
  </si>
  <si>
    <t>ALT-110188</t>
  </si>
  <si>
    <t>PPR TEBO Муфта соединительная 40  (20/200шт)</t>
  </si>
  <si>
    <t>28.30 руб.</t>
  </si>
  <si>
    <t>ALT-110189</t>
  </si>
  <si>
    <t>PPR TEBO Муфта соединительная 50  (12/108шт)</t>
  </si>
  <si>
    <t>44.50 руб.</t>
  </si>
  <si>
    <t>ALT-110190</t>
  </si>
  <si>
    <t>PPR TEBO Муфта соединительная 63  (6/60шт)</t>
  </si>
  <si>
    <t>78.84 руб.</t>
  </si>
  <si>
    <t>&gt;50</t>
  </si>
  <si>
    <t>ALT-110191</t>
  </si>
  <si>
    <t>PPR TEBO Муфта соединительная 75  (6/36шт)</t>
  </si>
  <si>
    <t>160.06 руб.</t>
  </si>
  <si>
    <t>ALT-110192</t>
  </si>
  <si>
    <t>PPR TEBO Муфта соединительная 90  (2/24шт)</t>
  </si>
  <si>
    <t>262.01 руб.</t>
  </si>
  <si>
    <t>ALT-110193</t>
  </si>
  <si>
    <t>PPR TEBO Муфта соединительная 110  (1/10шт)</t>
  </si>
  <si>
    <t>441.50 руб.</t>
  </si>
  <si>
    <t>ALT-110194</t>
  </si>
  <si>
    <t>PPR TEBO Муфта соединительная 125  (1/8шт)</t>
  </si>
  <si>
    <t>878.90 руб.</t>
  </si>
  <si>
    <t>ALT-110195</t>
  </si>
  <si>
    <t>PPR TEBO Муфта соединительная 160  (1/6шт)</t>
  </si>
  <si>
    <t>2 067.98 руб.</t>
  </si>
  <si>
    <t>ALT-110196</t>
  </si>
  <si>
    <t>PPR TEBO Муфта переходная вн.- вн. 25/20  (40/560шт)</t>
  </si>
  <si>
    <t>ALT-110197</t>
  </si>
  <si>
    <t>PPR TEBO Муфта переходная вн.- вн. 32/20  (30/390шт)</t>
  </si>
  <si>
    <t>13.57 руб.</t>
  </si>
  <si>
    <t>ALT-110198</t>
  </si>
  <si>
    <t>PPR TEBO Муфта переходная вн.- вн. 32/25  (30/360шт)</t>
  </si>
  <si>
    <t>14.00 руб.</t>
  </si>
  <si>
    <t>ALT-110199</t>
  </si>
  <si>
    <t>PPR TEBO Муфта переходная вн.- вн. 40/20  (30/330шт)</t>
  </si>
  <si>
    <t>23.54 руб.</t>
  </si>
  <si>
    <t>ALT-110200</t>
  </si>
  <si>
    <t>PPR TEBO Муфта переходная вн.- вн. 40/25  (30/330шт)</t>
  </si>
  <si>
    <t>23.98 руб.</t>
  </si>
  <si>
    <t>ALT-110201</t>
  </si>
  <si>
    <t>PPR TEBO Муфта переходная вн.- вн. 40/32  (20/200шт)</t>
  </si>
  <si>
    <t>ALT-110202</t>
  </si>
  <si>
    <t>PPR TEBO Муфта переходная вн.- вн. 50/20  (20/200шт)</t>
  </si>
  <si>
    <t>42.55 руб.</t>
  </si>
  <si>
    <t>&gt;25</t>
  </si>
  <si>
    <t>ALT-110203</t>
  </si>
  <si>
    <t>PPR TEBO Муфта переходная вн.- вн. 50/25  (20/200шт)</t>
  </si>
  <si>
    <t>43.42 руб.</t>
  </si>
  <si>
    <t>ALT-110204</t>
  </si>
  <si>
    <t>PPR TEBO Муфта переходная вн.- вн. 50/32  (15/150шт)</t>
  </si>
  <si>
    <t>36.29 руб.</t>
  </si>
  <si>
    <t>ALT-110205</t>
  </si>
  <si>
    <t>PPR TEBO Муфта переходная вн.- вн. 50/40  (15/120шт)</t>
  </si>
  <si>
    <t>46.87 руб.</t>
  </si>
  <si>
    <t>ALT-110206</t>
  </si>
  <si>
    <t>PPR TEBO Муфта переходная вн.- вн. 63/20  (10/80шт)</t>
  </si>
  <si>
    <t>84.46 руб.</t>
  </si>
  <si>
    <t>&gt;10</t>
  </si>
  <si>
    <t>ALT-110207</t>
  </si>
  <si>
    <t>PPR TEBO Муфта переходная вн.- вн. 63/25  (10/80шт)</t>
  </si>
  <si>
    <t>86.40 руб.</t>
  </si>
  <si>
    <t>ALT-110208</t>
  </si>
  <si>
    <t>PPR TEBO Муфта переходная вн.- вн. 63/32  (10/80шт)</t>
  </si>
  <si>
    <t>76.46 руб.</t>
  </si>
  <si>
    <t>ALT-110209</t>
  </si>
  <si>
    <t>PPR TEBO Муфта переходная вн.- вн. 63/40  (10/80шт)</t>
  </si>
  <si>
    <t>79.49 руб.</t>
  </si>
  <si>
    <t>ALT-110210</t>
  </si>
  <si>
    <t>PPR TEBO Муфта переходная вн.- вн. 63/50  (6/60шт)</t>
  </si>
  <si>
    <t>87.48 руб.</t>
  </si>
  <si>
    <t>ALT-110211</t>
  </si>
  <si>
    <t>PPR TEBO Муфта переходная вн.- вн. 75/32  (10/60шт)</t>
  </si>
  <si>
    <t>115.99 руб.</t>
  </si>
  <si>
    <t>ALT-110212</t>
  </si>
  <si>
    <t>PPR TEBO Муфта переходная вн.- вн. 75/40  (10/60шт)</t>
  </si>
  <si>
    <t>123.77 руб.</t>
  </si>
  <si>
    <t>ALT-110213</t>
  </si>
  <si>
    <t>PPR TEBO Муфта переходная вн.- вн. 75/50  (10/60шт)</t>
  </si>
  <si>
    <t>118.37 руб.</t>
  </si>
  <si>
    <t>ALT-110214</t>
  </si>
  <si>
    <t>PPR TEBO Муфта переходная вн.- вн. 75/63  (5/40шт)</t>
  </si>
  <si>
    <t>118.80 руб.</t>
  </si>
  <si>
    <t>ALT-110215</t>
  </si>
  <si>
    <t>PPR TEBO Муфта переходная вн.- вн. 90/32  (4/40шт)</t>
  </si>
  <si>
    <t>188.57 руб.</t>
  </si>
  <si>
    <t>ALT-110216</t>
  </si>
  <si>
    <t>PPR TEBO Муфта переходная вн.- вн. 90/40  (4/36шт)</t>
  </si>
  <si>
    <t>190.30 руб.</t>
  </si>
  <si>
    <t>ALT-110217</t>
  </si>
  <si>
    <t>PPR TEBO Муфта переходная вн.- вн. 90/50  (4/36шт)</t>
  </si>
  <si>
    <t>220.54 руб.</t>
  </si>
  <si>
    <t>ALT-110218</t>
  </si>
  <si>
    <t>PPR TEBO Муфта переходная вн.- вн. 90/63  (4/36шт)</t>
  </si>
  <si>
    <t>208.87 руб.</t>
  </si>
  <si>
    <t>ALT-110219</t>
  </si>
  <si>
    <t>PPR TEBO Муфта переходная вн.- вн. 90/75  (2/24шт)</t>
  </si>
  <si>
    <t>217.51 руб.</t>
  </si>
  <si>
    <t>ALT-110220</t>
  </si>
  <si>
    <t>PPR TEBO Муфта переходная вн.- вн. 110/50  (1/20шт)</t>
  </si>
  <si>
    <t>365.47 руб.</t>
  </si>
  <si>
    <t>ALT-110221</t>
  </si>
  <si>
    <t>PPR TEBO Муфта переходная вн.- вн. 110/63  (1/20шт)</t>
  </si>
  <si>
    <t>350.57 руб.</t>
  </si>
  <si>
    <t>ALT-110222</t>
  </si>
  <si>
    <t>PPR TEBO Муфта переходная вн.- вн. 110/75  (1/20шт)</t>
  </si>
  <si>
    <t>355.10 руб.</t>
  </si>
  <si>
    <t>ALT-110223</t>
  </si>
  <si>
    <t>PPR TEBO Муфта переходная вн.- вн. 110/90  (1/15шт)</t>
  </si>
  <si>
    <t>359.64 руб.</t>
  </si>
  <si>
    <t>ALT-110224</t>
  </si>
  <si>
    <t>PPR TEBO Муфта переходная вн.- вн. 125/110  (1/11шт)</t>
  </si>
  <si>
    <t>705.24 руб.</t>
  </si>
  <si>
    <t>ALT-110225</t>
  </si>
  <si>
    <t>PPR TEBO Муфта переходная вн.- вн. 160/110  (1/8шт)</t>
  </si>
  <si>
    <t>924.91 руб.</t>
  </si>
  <si>
    <t>ALT-110226</t>
  </si>
  <si>
    <t>PPR TEBO Муфта переходная вн.- нар. 25/20  (100/1000шт)</t>
  </si>
  <si>
    <t>6.05 руб.</t>
  </si>
  <si>
    <t>ALT-110227</t>
  </si>
  <si>
    <t>PPR TEBO Муфта переходная вн.- нар. 32/20  (50/600шт)</t>
  </si>
  <si>
    <t>10.58 руб.</t>
  </si>
  <si>
    <t>ALT-110228</t>
  </si>
  <si>
    <t>PPR TEBO Муфта переходная вн.- нар. 32/25  (50/500шт)</t>
  </si>
  <si>
    <t>10.80 руб.</t>
  </si>
  <si>
    <t>ALT-110229</t>
  </si>
  <si>
    <t>PPR TEBO Муфта переходная вн.- нар. 40/20  (40/400шт)</t>
  </si>
  <si>
    <t>17.28 руб.</t>
  </si>
  <si>
    <t>ALT-110230</t>
  </si>
  <si>
    <t>PPR TEBO Муфта переходная вн.- нар. 40/25  (30/300шт)</t>
  </si>
  <si>
    <t>18.36 руб.</t>
  </si>
  <si>
    <t>ALT-110231</t>
  </si>
  <si>
    <t>PPR TEBO Муфта переходная вн.- нар. 40/32  (30/240шт)</t>
  </si>
  <si>
    <t>20.30 руб.</t>
  </si>
  <si>
    <t>ALT-110232</t>
  </si>
  <si>
    <t>PPR TEBO Муфта переходная вн.- нар. 50/20  (20/240шт)</t>
  </si>
  <si>
    <t>29.59 руб.</t>
  </si>
  <si>
    <t>ALT-110233</t>
  </si>
  <si>
    <t>PPR TEBO Муфта переходная вн.- нар. 50/25  (20/240шт)</t>
  </si>
  <si>
    <t>30.46 руб.</t>
  </si>
  <si>
    <t>ALT-110234</t>
  </si>
  <si>
    <t>PPR TEBO Муфта переходная вн.- нар. 50/32  (20/240шт)</t>
  </si>
  <si>
    <t>31.97 руб.</t>
  </si>
  <si>
    <t>ALT-110235</t>
  </si>
  <si>
    <t>PPR TEBO Муфта переходная вн.- нар. 50/40  (20/200шт)</t>
  </si>
  <si>
    <t>36.72 руб.</t>
  </si>
  <si>
    <t>ALT-110236</t>
  </si>
  <si>
    <t>PPR TEBO Муфта переходная вн.- нар. 63/25  (10/120шт)</t>
  </si>
  <si>
    <t>41.90 руб.</t>
  </si>
  <si>
    <t>ALT-110237</t>
  </si>
  <si>
    <t>PPR TEBO Муфта переходная вн.- нар. 63/32  (10/100шт)</t>
  </si>
  <si>
    <t>52.27 руб.</t>
  </si>
  <si>
    <t>ALT-110238</t>
  </si>
  <si>
    <t>PPR TEBO Муфта переходная вн.- нар. 63/40  (10/100шт)</t>
  </si>
  <si>
    <t>50.98 руб.</t>
  </si>
  <si>
    <t>ALT-110239</t>
  </si>
  <si>
    <t>PPR TEBO Муфта переходная вн.- нар. 63/50  (10/100шт)</t>
  </si>
  <si>
    <t>60.91 руб.</t>
  </si>
  <si>
    <t>ALT-110240</t>
  </si>
  <si>
    <t>PPR TEBO Муфта переходная вн.- нар. 75/50  (12/60шт)</t>
  </si>
  <si>
    <t>159.12 руб.</t>
  </si>
  <si>
    <t>ALT-110241</t>
  </si>
  <si>
    <t>PPR TEBO Муфта переходная вн.- нар. 75/63  (6/48шт)</t>
  </si>
  <si>
    <t>171.36 руб.</t>
  </si>
  <si>
    <t>ALT-110242</t>
  </si>
  <si>
    <t>PPR TEBO Муфта переходная вн.- нар. 90/63  (6/36шт)</t>
  </si>
  <si>
    <t>307.53 руб.</t>
  </si>
  <si>
    <t>ALT-110243</t>
  </si>
  <si>
    <t>PPR TEBO Муфта переходная вн.- нар. 90/75  (4/24шт)</t>
  </si>
  <si>
    <t>362.61 руб.</t>
  </si>
  <si>
    <t>ALT-110244</t>
  </si>
  <si>
    <t>PPR TEBO Муфта переходная вн.- нар. 110/90  (2/18шт)</t>
  </si>
  <si>
    <t>749.70 руб.</t>
  </si>
  <si>
    <t>ALT-110245</t>
  </si>
  <si>
    <t>PPR TEBO Муфта разъемная 20  (30/300шт)</t>
  </si>
  <si>
    <t>35.64 руб.</t>
  </si>
  <si>
    <t>ALT-110246</t>
  </si>
  <si>
    <t>PPR TEBO Муфта разъемная 25  (20/160шт)</t>
  </si>
  <si>
    <t>57.67 руб.</t>
  </si>
  <si>
    <t>ALT-110247</t>
  </si>
  <si>
    <t>PPR TEBO Муфта разъемная 32  (10/100шт)</t>
  </si>
  <si>
    <t>92.66 руб.</t>
  </si>
  <si>
    <t>ALT-110248</t>
  </si>
  <si>
    <t>PPR TEBO Муфта разъемная 40  (5/50шт)</t>
  </si>
  <si>
    <t>141.70 руб.</t>
  </si>
  <si>
    <t>ALT-110249</t>
  </si>
  <si>
    <t>PPR TEBO Муфта разборная ремонтная 20  (20/120шт)</t>
  </si>
  <si>
    <t>144.50 руб.</t>
  </si>
  <si>
    <t>ALT-110250</t>
  </si>
  <si>
    <t>PPR TEBO Муфта разборная ремонтная 25  (20/100шт)</t>
  </si>
  <si>
    <t>299.38 руб.</t>
  </si>
  <si>
    <t>ALT-110251</t>
  </si>
  <si>
    <t>PPR TEBO Муфта разборная ремонтная 32  (15/75шт)</t>
  </si>
  <si>
    <t>340.20 руб.</t>
  </si>
  <si>
    <t>ALT-110252</t>
  </si>
  <si>
    <t>PPR TEBO Муфта комб. вн.р. 20x1/2"  (40/200шт)</t>
  </si>
  <si>
    <t>99.00 руб.</t>
  </si>
  <si>
    <t>ALT-110253</t>
  </si>
  <si>
    <t>PPR TEBO Муфта комб. вн.р. 20x3/4"  (25/150шт)</t>
  </si>
  <si>
    <t>113.62 руб.</t>
  </si>
  <si>
    <t>ALT-110254</t>
  </si>
  <si>
    <t>PPR TEBO Муфта комб. вн.р. 25x1/2"  (30/180шт)</t>
  </si>
  <si>
    <t>89.64 руб.</t>
  </si>
  <si>
    <t>ALT-110255</t>
  </si>
  <si>
    <t>PPR TEBO Муфта комб. вн.р. 25x3/4"  (25/150шт)</t>
  </si>
  <si>
    <t>133.70 руб.</t>
  </si>
  <si>
    <t>ALT-110256</t>
  </si>
  <si>
    <t>030023407</t>
  </si>
  <si>
    <t>PPR TEBO Муфта комб. вн.р. 32x1/2"  (20/120шт)</t>
  </si>
  <si>
    <t>87.05 руб.</t>
  </si>
  <si>
    <t>ALT-110257</t>
  </si>
  <si>
    <t>PPR TEBO Муфта комб. вн.р. 32x3/4"  (20/120шт)</t>
  </si>
  <si>
    <t>115.56 руб.</t>
  </si>
  <si>
    <t>ALT-110258</t>
  </si>
  <si>
    <t>PPR TEBO Муфта комб. вн.р. 32x1"  (15/90шт)</t>
  </si>
  <si>
    <t>198.50 руб.</t>
  </si>
  <si>
    <t>ALT-110259</t>
  </si>
  <si>
    <t>PPR TEBO Муфта комб. нар.р. 20x1/2"  (40/160шт)</t>
  </si>
  <si>
    <t>125.10 руб.</t>
  </si>
  <si>
    <t>ALT-110260</t>
  </si>
  <si>
    <t>PPR TEBO Муфта комб. нар.р. 20x3/4"  (20/120шт)</t>
  </si>
  <si>
    <t>160.56 руб.</t>
  </si>
  <si>
    <t>ALT-110261</t>
  </si>
  <si>
    <t>PPR TEBO Муфта комб. нар.р. 25x1/2"  (40/160шт)</t>
  </si>
  <si>
    <t>99.14 руб.</t>
  </si>
  <si>
    <t>ALT-110262</t>
  </si>
  <si>
    <t>PPR TEBO Муфта комб. нар.р. 25x3/4"  (20/120шт)</t>
  </si>
  <si>
    <t>170.54 руб.</t>
  </si>
  <si>
    <t>ALT-110263</t>
  </si>
  <si>
    <t>030023607</t>
  </si>
  <si>
    <t>PPR TEBO Муфта комб. нар.р. 32x1/2"  (15/90шт)</t>
  </si>
  <si>
    <t>132.84 руб.</t>
  </si>
  <si>
    <t>ALT-110264</t>
  </si>
  <si>
    <t>PPR TEBO Муфта комб. нар.р. 32x3/4"  (15/90шт)</t>
  </si>
  <si>
    <t>146.45 руб.</t>
  </si>
  <si>
    <t>ALT-110265</t>
  </si>
  <si>
    <t>PPR TEBO Муфта комб. нар.р. 32x1"  (10/60шт)</t>
  </si>
  <si>
    <t>271.97 руб.</t>
  </si>
  <si>
    <t>ALT-110266</t>
  </si>
  <si>
    <t>PPR TEBO Муфта комб. вн.р. 32x1" под ключ  (15/60шт)</t>
  </si>
  <si>
    <t>462.06 руб.</t>
  </si>
  <si>
    <t>ALT-110267</t>
  </si>
  <si>
    <t>PPR TEBO Муфта комб. вн.р. 40x1" под ключ  (5/35шт)</t>
  </si>
  <si>
    <t>654.84 руб.</t>
  </si>
  <si>
    <t>ALT-110268</t>
  </si>
  <si>
    <t>PPR TEBO Муфта комб. вн.р. 40x1.1/4" под ключ  (5/35шт)</t>
  </si>
  <si>
    <t>519.26 руб.</t>
  </si>
  <si>
    <t>ALT-110269</t>
  </si>
  <si>
    <t>PPR TEBO Муфта комб. вн.р. 50x1.1/2" под ключ  (6/24шт)</t>
  </si>
  <si>
    <t>706.10 руб.</t>
  </si>
  <si>
    <t>ALT-110270</t>
  </si>
  <si>
    <t>PPR TEBO Муфта комб. вн.р. 63x2" под ключ  (4/16шт)</t>
  </si>
  <si>
    <t>1 056.89 руб.</t>
  </si>
  <si>
    <t>ALT-110271</t>
  </si>
  <si>
    <t>PPR TEBO Муфта комб. вн.р. 75x2.1/2" под ключ  (2/8шт)</t>
  </si>
  <si>
    <t>2 115.50 руб.</t>
  </si>
  <si>
    <t>ALT-110272</t>
  </si>
  <si>
    <t>PPR TEBO Муфта комб. вн.р. 90x3" под ключ  (1/5шт)</t>
  </si>
  <si>
    <t>3 649.05 руб.</t>
  </si>
  <si>
    <t>ALT-110273</t>
  </si>
  <si>
    <t>PPR TEBO Муфта комб. вн.р. 110x4" под ключ  (1/4шт)</t>
  </si>
  <si>
    <t>5 413.14 руб.</t>
  </si>
  <si>
    <t>ALT-110274</t>
  </si>
  <si>
    <t>PPR TEBO Муфта комб. нар.р. 32x1" под ключ  (10/50шт)</t>
  </si>
  <si>
    <t>520.20 руб.</t>
  </si>
  <si>
    <t>ALT-110275</t>
  </si>
  <si>
    <t>PPR TEBO Муфта комб. нар.р. 40x1" под ключ  (5/30шт)</t>
  </si>
  <si>
    <t>664.02 руб.</t>
  </si>
  <si>
    <t>ALT-110276</t>
  </si>
  <si>
    <t>PPR TEBO Муфта комб. нар.р. 40x1.1/4" под ключ  (5/30шт)</t>
  </si>
  <si>
    <t>600.26 руб.</t>
  </si>
  <si>
    <t>ALT-110277</t>
  </si>
  <si>
    <t>PPR TEBO Муфта комб. нар.р. 50x1.1/2" под ключ  (6/24шт)</t>
  </si>
  <si>
    <t>767.45 руб.</t>
  </si>
  <si>
    <t>ALT-110278</t>
  </si>
  <si>
    <t>PPR TEBO Муфта комб. нар.р. 63x2" под ключ  (4/16шт)</t>
  </si>
  <si>
    <t>1 459.08 руб.</t>
  </si>
  <si>
    <t>ALT-110279</t>
  </si>
  <si>
    <t>PPR TEBO Муфта комб. нар.р. 75x2.1/2" под ключ  (1/8шт)</t>
  </si>
  <si>
    <t>2 533.90 руб.</t>
  </si>
  <si>
    <t>ALT-110280</t>
  </si>
  <si>
    <t>PPR TEBO Муфта комб. нар.р. 90x3" под ключ  (1/5шт)</t>
  </si>
  <si>
    <t>4 941.90 руб.</t>
  </si>
  <si>
    <t>ALT-110281</t>
  </si>
  <si>
    <t>PPR TEBO Муфта комб. нар.р. 110x4" под ключ  (1/3шт)</t>
  </si>
  <si>
    <t>7 718.85 руб.</t>
  </si>
  <si>
    <t>ALT-110282</t>
  </si>
  <si>
    <t>015020802</t>
  </si>
  <si>
    <t>PPR TEBO Муфта усил. комб. разъемная (американка) вн.р. 20x1/2" плоская прокладка (20/160шт)</t>
  </si>
  <si>
    <t>275.40 руб.</t>
  </si>
  <si>
    <t>ALT-110283</t>
  </si>
  <si>
    <t>015020803</t>
  </si>
  <si>
    <t>PPR TEBO Муфта усил. комб. разъемная (американка) вн.р. 20x3/4"  плоская прокладка (10/160шт)</t>
  </si>
  <si>
    <t>261.63 руб.</t>
  </si>
  <si>
    <t>ALT-110284</t>
  </si>
  <si>
    <t>015020804</t>
  </si>
  <si>
    <t>PPR TEBO Муфта усил. комб. разъемная (американка) вн.р. 20x1"  плоская прокладка (10/100шт)</t>
  </si>
  <si>
    <t>501.84 руб.</t>
  </si>
  <si>
    <t>ALT-110285</t>
  </si>
  <si>
    <t>015020817</t>
  </si>
  <si>
    <t>PPR TEBO Муфта усил. комб. разъемная (американка) вн.р. 25x1/2"  плоская прокладка (10/100шт)</t>
  </si>
  <si>
    <t>411.57 руб.</t>
  </si>
  <si>
    <t>ALT-110286</t>
  </si>
  <si>
    <t>015020805</t>
  </si>
  <si>
    <t>PPR TEBO Муфта усил. комб. разъемная (американка) вн.р. 25x3/4"  плоская прокладка (10/100шт)</t>
  </si>
  <si>
    <t>420.75 руб.</t>
  </si>
  <si>
    <t>ALT-110287</t>
  </si>
  <si>
    <t>015020806</t>
  </si>
  <si>
    <t>PPR TEBO Муфта усил. комб. разъемная (американка) вн.р. 25x1"  плоская прокладка (10/100шт)</t>
  </si>
  <si>
    <t>370.26 руб.</t>
  </si>
  <si>
    <t>ALT-110288</t>
  </si>
  <si>
    <t>015020807</t>
  </si>
  <si>
    <t>PPR TEBO Муфта усил. комб. разъемная (американка) вн.р. 32x3/4"  плоская прокладка (10/80шт)</t>
  </si>
  <si>
    <t>481.95 руб.</t>
  </si>
  <si>
    <t>ALT-110289</t>
  </si>
  <si>
    <t>015020808</t>
  </si>
  <si>
    <t>PPR TEBO Муфта усил. комб. разъемная (американка) вн.р. 32x1"  плоская прокладка (10/80шт)</t>
  </si>
  <si>
    <t>514.08 руб.</t>
  </si>
  <si>
    <t>ALT-110290</t>
  </si>
  <si>
    <t>015020809</t>
  </si>
  <si>
    <t>PPR TEBO Муфта усил. комб. разъемная (американка) вн.р. 32x1.1/4"  плоская прокладка (5/80шт)</t>
  </si>
  <si>
    <t>533.97 руб.</t>
  </si>
  <si>
    <t>ALT-110291</t>
  </si>
  <si>
    <t>015020810</t>
  </si>
  <si>
    <t>PPR TEBO Муфта усил. комб. разъемная (американка) вн.р. 40x1.1/4"  плоская прокладка (5/50шт)</t>
  </si>
  <si>
    <t>830.79 руб.</t>
  </si>
  <si>
    <t>ALT-110292</t>
  </si>
  <si>
    <t>015020811</t>
  </si>
  <si>
    <t>PPR TEBO Муфта усил. комб. разъемная (американка) вн.р. 50x1.1/2"  плоская прокладка (4/24шт)</t>
  </si>
  <si>
    <t>1 580.49 руб.</t>
  </si>
  <si>
    <t>ALT-110293</t>
  </si>
  <si>
    <t>015020812</t>
  </si>
  <si>
    <t>PPR TEBO Муфта усил. комб. разъемная (американка) вн.р. 63x2"  плоская прокладка (1/15шт)</t>
  </si>
  <si>
    <t>2 519.91 руб.</t>
  </si>
  <si>
    <t>ALT-110294</t>
  </si>
  <si>
    <t>015020813</t>
  </si>
  <si>
    <t>PPR TEBO Муфта усил. комб. разъемная (американка) вн.р. 75x2.1/2"  плоская прокладка (1/5шт)</t>
  </si>
  <si>
    <t>5 491.17 руб.</t>
  </si>
  <si>
    <t>ALT-110295</t>
  </si>
  <si>
    <t>015020902</t>
  </si>
  <si>
    <t>PPR TEBO Муфта усил. комб. разъемная (американка) нар.р. 20x1/2"  плоская прокладка (20/160шт)</t>
  </si>
  <si>
    <t>284.58 руб.</t>
  </si>
  <si>
    <t>ALT-110296</t>
  </si>
  <si>
    <t>015020903</t>
  </si>
  <si>
    <t>PPR TEBO Муфта усил. комб. разъемная (американка) нар.р. 20x3/4"  плоская прокладка (10/160шт)</t>
  </si>
  <si>
    <t>286.11 руб.</t>
  </si>
  <si>
    <t>ALT-110297</t>
  </si>
  <si>
    <t>015020904</t>
  </si>
  <si>
    <t>PPR TEBO Муфта усил. комб. разъемная (американка) нар.р. 20x1"  плоская прокладка (10/100шт)</t>
  </si>
  <si>
    <t>507.96 руб.</t>
  </si>
  <si>
    <t>ALT-110298</t>
  </si>
  <si>
    <t>T-ППР.Мрн.25.1.2.Б.Tr</t>
  </si>
  <si>
    <t>PPR TEBO Муфта усил. комб. разъемная (американка) нар.р. 25x1/2"  плоская прокладка (10/100шт)</t>
  </si>
  <si>
    <t>406.98 руб.</t>
  </si>
  <si>
    <t>ALT-110299</t>
  </si>
  <si>
    <t>T-ППР.Мрн.25.3.4.Б.Tr</t>
  </si>
  <si>
    <t>PPR TEBO Муфта усил. комб. разъемная (американка) нар.р. 25x3/4"  плоская прокладка (10/100шт)</t>
  </si>
  <si>
    <t>457.47 руб.</t>
  </si>
  <si>
    <t>ALT-110300</t>
  </si>
  <si>
    <t>015020906</t>
  </si>
  <si>
    <t>PPR TEBO Муфта усил. комб. разъемная (американка) нар.р. 25x1"  плоская прокладка (10/100шт)</t>
  </si>
  <si>
    <t>454.41 руб.</t>
  </si>
  <si>
    <t>ALT-110301</t>
  </si>
  <si>
    <t>015020907</t>
  </si>
  <si>
    <t>PPR TEBO Муфта усил. комб. разъемная (американка) нар.р. 32x3/4"  плоская прокладка (10/60шт)</t>
  </si>
  <si>
    <t>555.39 руб.</t>
  </si>
  <si>
    <t>ALT-110302</t>
  </si>
  <si>
    <t>T-ППР.Мрн.32.1.Б.Tr</t>
  </si>
  <si>
    <t>PPR TEBO Муфта усил. комб. разъемная (американка) нар.р. 32x1"  плоская прокладка (10/60шт)</t>
  </si>
  <si>
    <t>538.56 руб.</t>
  </si>
  <si>
    <t>ALT-110303</t>
  </si>
  <si>
    <t>015020909</t>
  </si>
  <si>
    <t>PPR TEBO Муфта усил. комб. разъемная (американка) нар.р. 32x1.1/4"  плоская прокладка (5/60шт)</t>
  </si>
  <si>
    <t>699.21 руб.</t>
  </si>
  <si>
    <t>ALT-110304</t>
  </si>
  <si>
    <t>015020910</t>
  </si>
  <si>
    <t>PPR TEBO Муфта усил. комб. разъемная (американка) нар.р. 40x1.1/4"  плоская прокладка (5/40шт)</t>
  </si>
  <si>
    <t>956.25 руб.</t>
  </si>
  <si>
    <t>ALT-110305</t>
  </si>
  <si>
    <t>015020911</t>
  </si>
  <si>
    <t>PPR TEBO Муфта усил. комб. разъемная (американка) нар.р. 50x1.1/2"  плоская прокладка (2/20шт)</t>
  </si>
  <si>
    <t>1 742.67 руб.</t>
  </si>
  <si>
    <t>ALT-110306</t>
  </si>
  <si>
    <t>015020912</t>
  </si>
  <si>
    <t>PPR TEBO Муфта усил. комб. разъемная (американка) нар.р. 63x2"  плоская прокладка (1/13шт)</t>
  </si>
  <si>
    <t>2 783.07 руб.</t>
  </si>
  <si>
    <t>ALT-110307</t>
  </si>
  <si>
    <t>015020913</t>
  </si>
  <si>
    <t>PPR TEBO Муфта усил. комб. разъемная (американка) нар.р. 75x2 1/2"  плоская прокладка (1/5шт)</t>
  </si>
  <si>
    <t>6 051.15 руб.</t>
  </si>
  <si>
    <t>ALT-110320</t>
  </si>
  <si>
    <t>015022002</t>
  </si>
  <si>
    <t>PPR TEBO Муфта комб. разъемная вн.р.(американка) 20x1/2" прокладка кольцо (20/200шт)</t>
  </si>
  <si>
    <t>221.85 руб.</t>
  </si>
  <si>
    <t>ALT-110321</t>
  </si>
  <si>
    <t>015022003</t>
  </si>
  <si>
    <t>PPR TEBO Муфта комб. разъемная вн.р.(американка) 20x3/4" прокладка кольцо (20/200шт)</t>
  </si>
  <si>
    <t>234.09 руб.</t>
  </si>
  <si>
    <t>ALT-110322</t>
  </si>
  <si>
    <t>015022004</t>
  </si>
  <si>
    <t>PPR TEBO Муфта комб. разъемная вн.р.(американка) 20x1" прокладка кольцо (10/100шт)</t>
  </si>
  <si>
    <t>440.64 руб.</t>
  </si>
  <si>
    <t>ALT-110323</t>
  </si>
  <si>
    <t>015022017</t>
  </si>
  <si>
    <t>PPR TEBO Муфта комб. разъемная вн.р.(американка) 25x1/2" прокладка кольцо (10/140шт)</t>
  </si>
  <si>
    <t>338.13 руб.</t>
  </si>
  <si>
    <t>ALT-110324</t>
  </si>
  <si>
    <t>015022005</t>
  </si>
  <si>
    <t>PPR TEBO Муфта комб. разъемная вн.р.(американка) 25x3/4" прокладка кольцо (10/140шт)</t>
  </si>
  <si>
    <t>341.19 руб.</t>
  </si>
  <si>
    <t>ALT-110325</t>
  </si>
  <si>
    <t>T-ППР.Мрв.25.1.Б.Tr</t>
  </si>
  <si>
    <t>PPR TEBO Муфта комб. разъемная вн.р.(американка) 25x1" прокладка кольцо (10/120шт)</t>
  </si>
  <si>
    <t>367.20 руб.</t>
  </si>
  <si>
    <t>ALT-110326</t>
  </si>
  <si>
    <t>015022007</t>
  </si>
  <si>
    <t>PPR TEBO Муфта комб. разъемная вн.р.(американка) 32x3/4" прокладка кольцо (10/100шт)</t>
  </si>
  <si>
    <t>423.81 руб.</t>
  </si>
  <si>
    <t>ALT-110327</t>
  </si>
  <si>
    <t>015022008</t>
  </si>
  <si>
    <t>PPR TEBO Муфта комб. разъемная вн.р.(американка) 32x1" прокладка кольцо (10/100шт)</t>
  </si>
  <si>
    <t>422.28 руб.</t>
  </si>
  <si>
    <t>ALT-110328</t>
  </si>
  <si>
    <t>015022009</t>
  </si>
  <si>
    <t>PPR TEBO Муфта комб. разъемная вн.р.(американка) 32x1.1/4" прокладка кольцо (5/80шт)</t>
  </si>
  <si>
    <t>489.60 руб.</t>
  </si>
  <si>
    <t>ALT-110329</t>
  </si>
  <si>
    <t>015022010</t>
  </si>
  <si>
    <t>PPR TEBO Муфта комб. разъемная вн.р.(американка) 40x1.1/4" прокладка кольцо (5/50шт)</t>
  </si>
  <si>
    <t>778.77 руб.</t>
  </si>
  <si>
    <t>ALT-110330</t>
  </si>
  <si>
    <t>015022011</t>
  </si>
  <si>
    <t>PPR TEBO Муфта комб. разъемная вн.р.(американка) 50x1.1/2" прокладка кольцо (4/32шт)</t>
  </si>
  <si>
    <t>1 384.65 руб.</t>
  </si>
  <si>
    <t>ALT-110331</t>
  </si>
  <si>
    <t>015022012</t>
  </si>
  <si>
    <t>PPR TEBO Муфта комб. разъемная вн.р.(американка) 63x2" прокладка кольцо (1/15шт)</t>
  </si>
  <si>
    <t>2 216.97 руб.</t>
  </si>
  <si>
    <t>ALT-110332</t>
  </si>
  <si>
    <t>015022102</t>
  </si>
  <si>
    <t>PPR TEBO Муфта комб. разъемная нар.р.(американка) 20x1/2" прокладка кольцо (20/200шт)</t>
  </si>
  <si>
    <t>237.15 руб.</t>
  </si>
  <si>
    <t>ALT-110333</t>
  </si>
  <si>
    <t>015022103</t>
  </si>
  <si>
    <t>PPR TEBO Муфта комб. разъемная нар.р.(американка) 20x3/4" прокладка кольцо (20/200шт)</t>
  </si>
  <si>
    <t>ALT-110334</t>
  </si>
  <si>
    <t>015022104</t>
  </si>
  <si>
    <t>PPR TEBO Муфта комб. разъемная нар.р.(американка) 20x1" прокладка кольцо (10/100шт)</t>
  </si>
  <si>
    <t>477.36 руб.</t>
  </si>
  <si>
    <t>ALT-110335</t>
  </si>
  <si>
    <t>015022117</t>
  </si>
  <si>
    <t>PPR TEBO Муфта комб. разъемная нар.р.(американка) 25x1/2" прокладка кольцо (10/140шт)</t>
  </si>
  <si>
    <t>354.96 руб.</t>
  </si>
  <si>
    <t>ALT-110336</t>
  </si>
  <si>
    <t>015022105</t>
  </si>
  <si>
    <t>PPR TEBO Муфта комб. разъемная нар.р.(американка) 25x3/4" прокладка кольцо (10/120шт)</t>
  </si>
  <si>
    <t>353.43 руб.</t>
  </si>
  <si>
    <t>ALT-110337</t>
  </si>
  <si>
    <t>015022106</t>
  </si>
  <si>
    <t>PPR TEBO Муфта комб. разъемная нар.р.(американка) 25x1" прокладка кольцо (10/100шт)</t>
  </si>
  <si>
    <t>417.69 руб.</t>
  </si>
  <si>
    <t>ALT-110338</t>
  </si>
  <si>
    <t>015022107</t>
  </si>
  <si>
    <t>PPR TEBO Муфта комб. разъемная нар.р.(американка) 32x3/4" прокладка кольцо (10/80шт)</t>
  </si>
  <si>
    <t>452.88 руб.</t>
  </si>
  <si>
    <t>ALT-110339</t>
  </si>
  <si>
    <t>015022108</t>
  </si>
  <si>
    <t>PPR TEBO Муфта комб. разъемная нар.р.(американка) 32x1" прокладка кольцо (10/80шт)</t>
  </si>
  <si>
    <t>475.83 руб.</t>
  </si>
  <si>
    <t>ALT-110340</t>
  </si>
  <si>
    <t>015022109</t>
  </si>
  <si>
    <t>PPR TEBO Муфта комб. разъемная нар.р.(американка) 32x1.1/4" прокладка кольцо (10/70шт)</t>
  </si>
  <si>
    <t>630.36 руб.</t>
  </si>
  <si>
    <t>ALT-110341</t>
  </si>
  <si>
    <t>015022110</t>
  </si>
  <si>
    <t>PPR TEBO Муфта комб. разъемная нар.р.(американка) 40x1.1/4" прокладка кольцо (5/40шт)</t>
  </si>
  <si>
    <t>907.29 руб.</t>
  </si>
  <si>
    <t>ALT-110342</t>
  </si>
  <si>
    <t>015022111</t>
  </si>
  <si>
    <t>PPR TEBO Муфта комб. разъемная нар.р.(американка) 50x1.1/2" прокладка кольцо (2/26шт)</t>
  </si>
  <si>
    <t>1 462.68 руб.</t>
  </si>
  <si>
    <t>ALT-110343</t>
  </si>
  <si>
    <t>015022112</t>
  </si>
  <si>
    <t>PPR TEBO Муфта комб. разъемная нар.р.(американка) 63x2" прокладка кольцо (1/13шт)</t>
  </si>
  <si>
    <t>2 597.94 руб.</t>
  </si>
  <si>
    <t>ALT-110344</t>
  </si>
  <si>
    <t>PPR TEBO Муфта пластиковая разъемная вн.р. 20x1/2"  (20/240шт)</t>
  </si>
  <si>
    <t>48.38 руб.</t>
  </si>
  <si>
    <t>ALT-110345</t>
  </si>
  <si>
    <t>PPR TEBO Муфта пластиковая разъемная вн.р. 25x3/4"  (20/200шт)</t>
  </si>
  <si>
    <t>74.95 руб.</t>
  </si>
  <si>
    <t>ALT-110346</t>
  </si>
  <si>
    <t>PPR TEBO Муфта пластиковая разъемная вн.р. 32x1"  (15/150шт)</t>
  </si>
  <si>
    <t>91.80 руб.</t>
  </si>
  <si>
    <t>ALT-110347</t>
  </si>
  <si>
    <t>PPR TEBO Муфта пластиковая разъемная нар.р. 20x1/2"  (20/240шт)</t>
  </si>
  <si>
    <t>ALT-110348</t>
  </si>
  <si>
    <t>PPR TEBO Муфта пластиковая разъемная нар.р. 25x3/4"  (20/200шт)</t>
  </si>
  <si>
    <t>74.74 руб.</t>
  </si>
  <si>
    <t>ALT-110349</t>
  </si>
  <si>
    <t>PPR TEBO Муфта пластиковая разъемная нар.р. 32x1"  (15/150шт)</t>
  </si>
  <si>
    <t>92.02 руб.</t>
  </si>
  <si>
    <t>ALT-110350</t>
  </si>
  <si>
    <t>PPR TEBO Муфта с накидной гайкой 20x1/2" (мет.штуцер)  (40/240шт)</t>
  </si>
  <si>
    <t>146.88 руб.</t>
  </si>
  <si>
    <t>ALT-110351</t>
  </si>
  <si>
    <t>PPR TEBO Муфта с накидной гайкой 20x3/4" (мет.штуцер)  (30/120шт)</t>
  </si>
  <si>
    <t>208.01 руб.</t>
  </si>
  <si>
    <t>ALT-110352</t>
  </si>
  <si>
    <t>PPR TEBO Муфта с накидной гайкой 25x3/4" (мет.штуцер)  (25/150шт)</t>
  </si>
  <si>
    <t>221.18 руб.</t>
  </si>
  <si>
    <t>ALT-110353</t>
  </si>
  <si>
    <t>PPR TEBO Муфта с накидной гайкой 25x1" (мет.штуцер)  (20/80шт)</t>
  </si>
  <si>
    <t>349.92 руб.</t>
  </si>
  <si>
    <t>ALT-110354</t>
  </si>
  <si>
    <t>PPR TEBO Муфта с накидной гайкой 32x1" (мет.штуцер)  (15/75шт)</t>
  </si>
  <si>
    <t>350.78 руб.</t>
  </si>
  <si>
    <t>ALT-110355</t>
  </si>
  <si>
    <t>PPR TEBO Муфта с накидной гайкой 32x1.1/4" (мет.штуцер)  (10/50шт)</t>
  </si>
  <si>
    <t>504.14 руб.</t>
  </si>
  <si>
    <t>ALT-110356</t>
  </si>
  <si>
    <t>PPR TEBO Муфта с накидной гайкой 20x1/2"  (50/300шт)</t>
  </si>
  <si>
    <t>88.13 руб.</t>
  </si>
  <si>
    <t>ALT-110357</t>
  </si>
  <si>
    <t>PPR TEBO Муфта с накидной гайкой 20x3/4"  (40/200шт)</t>
  </si>
  <si>
    <t>95.47 руб.</t>
  </si>
  <si>
    <t>ALT-110358</t>
  </si>
  <si>
    <t>PPR TEBO Муфта с накидной гайкой 25x3/4"  (40/160шт)</t>
  </si>
  <si>
    <t>102.82 руб.</t>
  </si>
  <si>
    <t>ALT-110359</t>
  </si>
  <si>
    <t>PPR TEBO Штуцер с накидной гайкой 20*1/2"  (50/400шт)</t>
  </si>
  <si>
    <t>139.23 руб.</t>
  </si>
  <si>
    <t>ALT-110360</t>
  </si>
  <si>
    <t>PPR TEBO Штуцер с накидной гайкой 20*3/4"  (60/360шт)</t>
  </si>
  <si>
    <t>149.94 руб.</t>
  </si>
  <si>
    <t>ALT-110361</t>
  </si>
  <si>
    <t>PPR TEBO Штуцер с накидной гайкой 25*1/2"  (40/240шт)</t>
  </si>
  <si>
    <t>180.54 руб.</t>
  </si>
  <si>
    <t>ALT-110362</t>
  </si>
  <si>
    <t>PPR TEBO Штуцер с накидной гайкой 25*1"  (40/240шт)</t>
  </si>
  <si>
    <t>201.96 руб.</t>
  </si>
  <si>
    <t>ALT-110363</t>
  </si>
  <si>
    <t>PPR TEBO Штуцер с накидной гайкой 32*1 1/4"  (20/80шт)</t>
  </si>
  <si>
    <t>287.64 руб.</t>
  </si>
  <si>
    <t>ALT-110364</t>
  </si>
  <si>
    <t>PPR TEBO Штуцер евроконус с накидной гайкой 20x3/4"  (20/360шт)</t>
  </si>
  <si>
    <t>94.61 руб.</t>
  </si>
  <si>
    <t>ALT-110365</t>
  </si>
  <si>
    <t>PPR TEBO Штуцер для присоединения счетчика воды 20  (120/600шт)</t>
  </si>
  <si>
    <t>ALT-110366</t>
  </si>
  <si>
    <t>PPR TEBO Угольник 20  45град.  (50/700шт)</t>
  </si>
  <si>
    <t>7.35 руб.</t>
  </si>
  <si>
    <t>&gt;1000</t>
  </si>
  <si>
    <t>ALT-110367</t>
  </si>
  <si>
    <t>PPR TEBO Угольник 25  45град.  (50/400шт)</t>
  </si>
  <si>
    <t>11.25 руб.</t>
  </si>
  <si>
    <t>ALT-110368</t>
  </si>
  <si>
    <t>PPR TEBO Угольник 32  45град.  (20/220шт)</t>
  </si>
  <si>
    <t>19.55 руб.</t>
  </si>
  <si>
    <t>ALT-110369</t>
  </si>
  <si>
    <t>PPR TEBO Угольник 40  45град.  (10/120шт)</t>
  </si>
  <si>
    <t>39.31 руб.</t>
  </si>
  <si>
    <t>ALT-110370</t>
  </si>
  <si>
    <t>PPR TEBO Угольник 50  45град.  (8/72шт)</t>
  </si>
  <si>
    <t>65.02 руб.</t>
  </si>
  <si>
    <t>ALT-110371</t>
  </si>
  <si>
    <t>PPR TEBO Угольник 63  45град.  (4/40шт)</t>
  </si>
  <si>
    <t>114.91 руб.</t>
  </si>
  <si>
    <t>ALT-110372</t>
  </si>
  <si>
    <t>PPR TEBO Угольник 75  45град.  (2/18шт)</t>
  </si>
  <si>
    <t>266.33 руб.</t>
  </si>
  <si>
    <t>ALT-110373</t>
  </si>
  <si>
    <t>PPR TEBO Угольник 90  45град.  (1/12шт)</t>
  </si>
  <si>
    <t>422.06 руб.</t>
  </si>
  <si>
    <t>ALT-110374</t>
  </si>
  <si>
    <t>PPR TEBO Угольник 110  45град.  (1/6шт)</t>
  </si>
  <si>
    <t>593.35 руб.</t>
  </si>
  <si>
    <t>ALT-110375</t>
  </si>
  <si>
    <t>PPR TEBO Угольник 125  45град.  (1/4шт)</t>
  </si>
  <si>
    <t>1 755.86 руб.</t>
  </si>
  <si>
    <t>ALT-110376</t>
  </si>
  <si>
    <t>PPR TEBO Угольник 160  45град.  (1/2шт)</t>
  </si>
  <si>
    <t>2 122.20 руб.</t>
  </si>
  <si>
    <t>ALT-110377</t>
  </si>
  <si>
    <t>PPR TEBO Угольник 20  90град.  (50/550шт)</t>
  </si>
  <si>
    <t>7.83 руб.</t>
  </si>
  <si>
    <t>ALT-110378</t>
  </si>
  <si>
    <t>PPR TEBO Угольник 25  90град.  (30/360шт)</t>
  </si>
  <si>
    <t>12.74 руб.</t>
  </si>
  <si>
    <t>ALT-110379</t>
  </si>
  <si>
    <t>PPR TEBO Угольник 32  90град.  (20/160шт)</t>
  </si>
  <si>
    <t>25.85 руб.</t>
  </si>
  <si>
    <t>ALT-110380</t>
  </si>
  <si>
    <t>PPR TEBO Угольник 40  90град.  (10/110шт)</t>
  </si>
  <si>
    <t>43.20 руб.</t>
  </si>
  <si>
    <t>ALT-110381</t>
  </si>
  <si>
    <t>PPR TEBO Угольник 50  90град.  (5/50шт)</t>
  </si>
  <si>
    <t>ALT-110382</t>
  </si>
  <si>
    <t>PPR TEBO Угольник 63  90град.  (4/32шт)</t>
  </si>
  <si>
    <t>158.98 руб.</t>
  </si>
  <si>
    <t>ALT-110383</t>
  </si>
  <si>
    <t>PPR TEBO Угольник 75  90град.  (2/20шт)</t>
  </si>
  <si>
    <t>291.60 руб.</t>
  </si>
  <si>
    <t>ALT-110384</t>
  </si>
  <si>
    <t>PPR TEBO Угольник 90  90град.  (1/10шт)</t>
  </si>
  <si>
    <t>442.15 руб.</t>
  </si>
  <si>
    <t>ALT-110385</t>
  </si>
  <si>
    <t>PPR TEBO Угольник 110  90град.  (1/4шт)</t>
  </si>
  <si>
    <t>639.14 руб.</t>
  </si>
  <si>
    <t>ALT-110386</t>
  </si>
  <si>
    <t>PPR TEBO Угольник 125  90град.  (1/4шт)</t>
  </si>
  <si>
    <t>1 559.74 руб.</t>
  </si>
  <si>
    <t>ALT-110387</t>
  </si>
  <si>
    <t>PPR TEBO Угольник 160  90град.  (1/2шт)</t>
  </si>
  <si>
    <t>2 806.49 руб.</t>
  </si>
  <si>
    <t>ALT-110388</t>
  </si>
  <si>
    <t>PPR TEBO Угольник переходной 25/20 90 град. вн./вн.  (30/360шт)</t>
  </si>
  <si>
    <t>12.53 руб.</t>
  </si>
  <si>
    <t>ALT-110389</t>
  </si>
  <si>
    <t>PPR TEBO Угольник переходной 32/20 90 град. вн./вн.  (30/300шт)</t>
  </si>
  <si>
    <t>17.50 руб.</t>
  </si>
  <si>
    <t>ALT-110390</t>
  </si>
  <si>
    <t>PPR TEBO Угольник переходной 32/25 90 град. вн./вн.  (25/225шт)</t>
  </si>
  <si>
    <t>ALT-110391</t>
  </si>
  <si>
    <t>015030302</t>
  </si>
  <si>
    <t>PPR TEBO Угольник переход 20 90 град. вн./нар.  (50/400шт)</t>
  </si>
  <si>
    <t>12.10 руб.</t>
  </si>
  <si>
    <t>ALT-110392</t>
  </si>
  <si>
    <t>PPR TEBO Угольник переход 25 90 град. вн./нар.  (30/300шт)</t>
  </si>
  <si>
    <t>17.06 руб.</t>
  </si>
  <si>
    <t>ALT-110393</t>
  </si>
  <si>
    <t>PPR TEBO Угольник переходной 25/20 90 град. вн./нар.  (40/400шт)</t>
  </si>
  <si>
    <t>15.77 руб.</t>
  </si>
  <si>
    <t>ALT-110394</t>
  </si>
  <si>
    <t>PPR TEBO Угольник переходной 32/20 90 град. вн./нар.  (30/300шт)</t>
  </si>
  <si>
    <t>18.58 руб.</t>
  </si>
  <si>
    <t>ALT-110395</t>
  </si>
  <si>
    <t>PPR TEBO Угольник переходной 32/25 90 град. вн./нар.  (25/250шт)</t>
  </si>
  <si>
    <t>23.11 руб.</t>
  </si>
  <si>
    <t>ALT-110396</t>
  </si>
  <si>
    <t>PPR TEBO Угольник комб. вн.р. 20x1/2"  (20/160шт)</t>
  </si>
  <si>
    <t>104.40 руб.</t>
  </si>
  <si>
    <t>ALT-110397</t>
  </si>
  <si>
    <t>PPR TEBO Угольник комб. вн.р. 20x3/4"  (20/140шт)</t>
  </si>
  <si>
    <t>107.35 руб.</t>
  </si>
  <si>
    <t>ALT-110398</t>
  </si>
  <si>
    <t>PPR TEBO Угольник комб. вн.р. 25x1/2"  (20/120шт)</t>
  </si>
  <si>
    <t>107.57 руб.</t>
  </si>
  <si>
    <t>ALT-110399</t>
  </si>
  <si>
    <t>PPR TEBO Угольник комб. вн.р. 25x3/4"  (20/100шт)</t>
  </si>
  <si>
    <t>103.46 руб.</t>
  </si>
  <si>
    <t>ALT-110400</t>
  </si>
  <si>
    <t>PPR TEBO Угольник комб. вн.р. 32x1/2"  (15/90шт)</t>
  </si>
  <si>
    <t>101.95 руб.</t>
  </si>
  <si>
    <t>ALT-110401</t>
  </si>
  <si>
    <t>PPR TEBO Угольник комб. вн.р. 32x3/4"  (20/80шт)</t>
  </si>
  <si>
    <t>119.23 руб.</t>
  </si>
  <si>
    <t>ALT-110402</t>
  </si>
  <si>
    <t>PPR TEBO Угольник комб. вн.р. 32x1"  (10/50шт)</t>
  </si>
  <si>
    <t>212.11 руб.</t>
  </si>
  <si>
    <t>ALT-110403</t>
  </si>
  <si>
    <t>PPR TEBO Угольник комб. нар.р. 20x1/2"  (20/160шт)</t>
  </si>
  <si>
    <t>128.70 руб.</t>
  </si>
  <si>
    <t>ALT-110404</t>
  </si>
  <si>
    <t>PPR TEBO Угольник комб. нар.р. 20x3/4"  (20/120шт)</t>
  </si>
  <si>
    <t>136.08 руб.</t>
  </si>
  <si>
    <t>ALT-110405</t>
  </si>
  <si>
    <t>PPR TEBO Угольник комб. нар.р. 25x1/2"  (20/120шт)</t>
  </si>
  <si>
    <t>107.14 руб.</t>
  </si>
  <si>
    <t>ALT-110406</t>
  </si>
  <si>
    <t>PPR TEBO Угольник комб. нар.р. 25x3/4"  (15/90шт)</t>
  </si>
  <si>
    <t>130.03 руб.</t>
  </si>
  <si>
    <t>ALT-110407</t>
  </si>
  <si>
    <t>PPR TEBO Угольник комб. нар.р. 32x1/2"  (15/90шт)</t>
  </si>
  <si>
    <t>127.44 руб.</t>
  </si>
  <si>
    <t>ALT-110408</t>
  </si>
  <si>
    <t>PPR TEBO Угольник комб. нар.р. 32x3/4"  (10/70шт)</t>
  </si>
  <si>
    <t>153.36 руб.</t>
  </si>
  <si>
    <t>ALT-110409</t>
  </si>
  <si>
    <t>PPR TEBO Угольник комб. нар.р. 32x1"  (10/50шт)</t>
  </si>
  <si>
    <t>231.98 руб.</t>
  </si>
  <si>
    <t>ALT-110410</t>
  </si>
  <si>
    <t>PPR TEBO Угольник комб. вн.р. 32x1" под ключ  (10/40шт)</t>
  </si>
  <si>
    <t>439.11 руб.</t>
  </si>
  <si>
    <t>ALT-110411</t>
  </si>
  <si>
    <t>PPR TEBO Угольник комб. нар.р. 32x1" под ключ  (10/40шт)</t>
  </si>
  <si>
    <t>ALT-110412</t>
  </si>
  <si>
    <t>PPR TEBO Угольник комб. вн.р. 20x1/2" с креплением  (20/100шт)</t>
  </si>
  <si>
    <t>107.41 руб.</t>
  </si>
  <si>
    <t>ALT-110413</t>
  </si>
  <si>
    <t>PPR TEBO Угольник комб. вн.р. 25x1/2" с креплением  (10/100шт)</t>
  </si>
  <si>
    <t>88.56 руб.</t>
  </si>
  <si>
    <t>ALT-110414</t>
  </si>
  <si>
    <t>PPR TEBO Угольник комб. вн.р. 20x1/2" с креплением для гипсокартона  (10/60шт)</t>
  </si>
  <si>
    <t>228.74 руб.</t>
  </si>
  <si>
    <t>ALT-110415</t>
  </si>
  <si>
    <t>PPR TEBO Угольник комб. нар.р. 20x1/2" с креплением  (20/80шт)</t>
  </si>
  <si>
    <t>140.36 руб.</t>
  </si>
  <si>
    <t>ALT-110416</t>
  </si>
  <si>
    <t>PPR TEBO Угольник комб. нар.р. 25x1/2" с креплением  (10/80шт)</t>
  </si>
  <si>
    <t>97.63 руб.</t>
  </si>
  <si>
    <t>ALT-110417</t>
  </si>
  <si>
    <t>PPR TEBO Комплект универсальный настенный вн.р. 20x1/2"  (6/36шт)</t>
  </si>
  <si>
    <t>374.85 руб.</t>
  </si>
  <si>
    <t>ALT-110418</t>
  </si>
  <si>
    <t>PPR TEBO Комплект универсальный настенный вн.р. 25x1/2"  (5/30шт)</t>
  </si>
  <si>
    <t>ALT-110419</t>
  </si>
  <si>
    <t>PPR TEBO Планка с водорозетками настенный комп. для смесителя вн.р. 20х1/2"  (6/30шт)</t>
  </si>
  <si>
    <t>203.47 руб.</t>
  </si>
  <si>
    <t>ALT-110420</t>
  </si>
  <si>
    <t>PPR TEBO Угольник с накидной гайкой 20x1/2" (метал. штуцер)  (25/200шт)</t>
  </si>
  <si>
    <t>159.62 руб.</t>
  </si>
  <si>
    <t>ALT-110421</t>
  </si>
  <si>
    <t>PPR TEBO Угольник с накидной гайкой 20x3/4" (метал. штуцер)  (30/120шт)</t>
  </si>
  <si>
    <t>225.72 руб.</t>
  </si>
  <si>
    <t>ALT-110422</t>
  </si>
  <si>
    <t>PPR TEBO Угольник с накидной гайкой 25x3/4" (метал. штуцер)  (20/100шт)</t>
  </si>
  <si>
    <t>237.17 руб.</t>
  </si>
  <si>
    <t>ALT-110423</t>
  </si>
  <si>
    <t>PPR TEBO Угольник с накидной гайкой 25x1" (метал. штуцер)  (15/60шт)</t>
  </si>
  <si>
    <t>379.08 руб.</t>
  </si>
  <si>
    <t>ALT-110424</t>
  </si>
  <si>
    <t>PPR TEBO Угольник с накидной гайкой 32x1" (метал. штуцер)  (10/50шт)</t>
  </si>
  <si>
    <t>398.74 руб.</t>
  </si>
  <si>
    <t>ALT-110425</t>
  </si>
  <si>
    <t>PPR TEBO Угольник с накидной гайкой 32x1.1/4" (метал. штуцер)  (10/40шт)</t>
  </si>
  <si>
    <t>541.51 руб.</t>
  </si>
  <si>
    <t>ALT-110426</t>
  </si>
  <si>
    <t>PPR TEBO Тройник 20  (30/390шт)</t>
  </si>
  <si>
    <t>10.26 руб.</t>
  </si>
  <si>
    <t>ALT-110427</t>
  </si>
  <si>
    <t>PPR TEBO Тройник 25  (25/250шт)</t>
  </si>
  <si>
    <t>17.74 руб.</t>
  </si>
  <si>
    <t>ALT-110428</t>
  </si>
  <si>
    <t>PPR TEBO Тройник 32  (15/120шт)</t>
  </si>
  <si>
    <t>33.88 руб.</t>
  </si>
  <si>
    <t>ALT-110429</t>
  </si>
  <si>
    <t>PPR TEBO Тройник 40  (5/80шт)</t>
  </si>
  <si>
    <t>54.00 руб.</t>
  </si>
  <si>
    <t>ALT-110430</t>
  </si>
  <si>
    <t>PPR TEBO Тройник 50  (4/40шт)</t>
  </si>
  <si>
    <t>97.42 руб.</t>
  </si>
  <si>
    <t>ALT-110431</t>
  </si>
  <si>
    <t>PPR TEBO Тройник 63  (2/24шт)</t>
  </si>
  <si>
    <t>183.38 руб.</t>
  </si>
  <si>
    <t>ALT-110432</t>
  </si>
  <si>
    <t>PPR TEBO Тройник 75  (2/16шт)</t>
  </si>
  <si>
    <t>334.37 руб.</t>
  </si>
  <si>
    <t>ALT-110433</t>
  </si>
  <si>
    <t>PPR TEBO Тройник 90  (1/10шт)</t>
  </si>
  <si>
    <t>657.94 руб.</t>
  </si>
  <si>
    <t>ALT-110434</t>
  </si>
  <si>
    <t>PPR TEBO Тройник 110  (1/4шт)</t>
  </si>
  <si>
    <t>946.08 руб.</t>
  </si>
  <si>
    <t>ALT-110435</t>
  </si>
  <si>
    <t>PPR TEBO Тройник 125  (1/3шт)</t>
  </si>
  <si>
    <t>2 014.85 руб.</t>
  </si>
  <si>
    <t>ALT-110436</t>
  </si>
  <si>
    <t>PPR TEBO Тройник 160  (1/2шт)</t>
  </si>
  <si>
    <t>2 757.24 руб.</t>
  </si>
  <si>
    <t>ALT-110437</t>
  </si>
  <si>
    <t>PPR TEBO Тройник 20x25x20  (30/360шт)</t>
  </si>
  <si>
    <t>ALT-110438</t>
  </si>
  <si>
    <t>PPR TEBO Тройник 25x20x20  (30/300шт)</t>
  </si>
  <si>
    <t>18.79 руб.</t>
  </si>
  <si>
    <t>ALT-110439</t>
  </si>
  <si>
    <t>PPR TEBO Тройник 25x20x25  (25/275шт)</t>
  </si>
  <si>
    <t>16.78 руб.</t>
  </si>
  <si>
    <t>ALT-110440</t>
  </si>
  <si>
    <t>PPR TEBO Тройник 25x25x20  (30/300шт)</t>
  </si>
  <si>
    <t>21.82 руб.</t>
  </si>
  <si>
    <t>ALT-110441</t>
  </si>
  <si>
    <t>PPR TEBO Тройник 32x20x20  (20/200шт)</t>
  </si>
  <si>
    <t>24.41 руб.</t>
  </si>
  <si>
    <t>ALT-110442</t>
  </si>
  <si>
    <t>PPR TEBO Тройник 32x20x25  (20/200шт)</t>
  </si>
  <si>
    <t>33.26 руб.</t>
  </si>
  <si>
    <t>ALT-110443</t>
  </si>
  <si>
    <t>PPR TEBO Тройник 32x20x32  (15/150шт)</t>
  </si>
  <si>
    <t>28.74 руб.</t>
  </si>
  <si>
    <t>ALT-110444</t>
  </si>
  <si>
    <t>PPR TEBO Тройник 32x25x20  (20/200шт)</t>
  </si>
  <si>
    <t>27.65 руб.</t>
  </si>
  <si>
    <t>ALT-110445</t>
  </si>
  <si>
    <t>PPR TEBO Тройник 32x25x25  (20/160шт)</t>
  </si>
  <si>
    <t>28.73 руб.</t>
  </si>
  <si>
    <t>ALT-110446</t>
  </si>
  <si>
    <t>PPR TEBO Тройник 32x25x32  (15/150шт)</t>
  </si>
  <si>
    <t>28.94 руб.</t>
  </si>
  <si>
    <t>ALT-110447</t>
  </si>
  <si>
    <t>PPR TEBO Тройник 32x50x32  (6/60шт)</t>
  </si>
  <si>
    <t>79.27 руб.</t>
  </si>
  <si>
    <t>ALT-110448</t>
  </si>
  <si>
    <t>PPR TEBO Тройник 40x20x40  (10/100шт)</t>
  </si>
  <si>
    <t>47.52 руб.</t>
  </si>
  <si>
    <t>ALT-110449</t>
  </si>
  <si>
    <t>PPR TEBO Тройник 40x25x40  (10/100шт)</t>
  </si>
  <si>
    <t>47.09 руб.</t>
  </si>
  <si>
    <t>ALT-110450</t>
  </si>
  <si>
    <t>PPR TEBO Тройник 40x32x32  (10/100шт)</t>
  </si>
  <si>
    <t>51.41 руб.</t>
  </si>
  <si>
    <t>ALT-110451</t>
  </si>
  <si>
    <t>PPR TEBO Тройник 40x32x40  (10/80шт)</t>
  </si>
  <si>
    <t>50.76 руб.</t>
  </si>
  <si>
    <t>ALT-110452</t>
  </si>
  <si>
    <t>PPR TEBO Тройник 40x50x40  (5/50шт)</t>
  </si>
  <si>
    <t>90.29 руб.</t>
  </si>
  <si>
    <t>ALT-110453</t>
  </si>
  <si>
    <t>PPR TEBO Тройник 50x20x50  (9/72шт)</t>
  </si>
  <si>
    <t>59.18 руб.</t>
  </si>
  <si>
    <t>ALT-110454</t>
  </si>
  <si>
    <t>PPR TEBO Тройник 50x25x50  (9/72шт)</t>
  </si>
  <si>
    <t>81.43 руб.</t>
  </si>
  <si>
    <t>ALT-110455</t>
  </si>
  <si>
    <t>PPR TEBO Тройник 50x32x32  (6/60шт)</t>
  </si>
  <si>
    <t>ALT-110456</t>
  </si>
  <si>
    <t>PPR TEBO Тройник 50x32x40  (8/64шт)</t>
  </si>
  <si>
    <t>ALT-110457</t>
  </si>
  <si>
    <t>PPR TEBO Тройник 50x32x50  (6/60шт)</t>
  </si>
  <si>
    <t>89.42 руб.</t>
  </si>
  <si>
    <t>ALT-110458</t>
  </si>
  <si>
    <t>PPR TEBO Тройник 50x40x32  (6/60шт)</t>
  </si>
  <si>
    <t>82.08 руб.</t>
  </si>
  <si>
    <t>ALT-110459</t>
  </si>
  <si>
    <t>PPR TEBO Тройник 50x40x40  (5/50шт)</t>
  </si>
  <si>
    <t>95.04 руб.</t>
  </si>
  <si>
    <t>ALT-110460</t>
  </si>
  <si>
    <t>PPR TEBO Тройник 50x40x50  (6/60шт)</t>
  </si>
  <si>
    <t>103.90 руб.</t>
  </si>
  <si>
    <t>ALT-110461</t>
  </si>
  <si>
    <t>PPR TEBO Тройник 50x50x32  (6/60шт)</t>
  </si>
  <si>
    <t>100.66 руб.</t>
  </si>
  <si>
    <t>ALT-110462</t>
  </si>
  <si>
    <t>PPR TEBO Тройник 50x50x40  (5/40шт)</t>
  </si>
  <si>
    <t>127.22 руб.</t>
  </si>
  <si>
    <t>ALT-110463</t>
  </si>
  <si>
    <t>PPR TEBO Тройник 63x20x63  (4/48шт)</t>
  </si>
  <si>
    <t>133.92 руб.</t>
  </si>
  <si>
    <t>ALT-110464</t>
  </si>
  <si>
    <t>PPR TEBO Тройник 63x25x63  (4/32шт)</t>
  </si>
  <si>
    <t>139.10 руб.</t>
  </si>
  <si>
    <t>ALT-110465</t>
  </si>
  <si>
    <t>PPR TEBO Тройник 63x32x63  (4/32шт)</t>
  </si>
  <si>
    <t>142.13 руб.</t>
  </si>
  <si>
    <t>ALT-110466</t>
  </si>
  <si>
    <t>PPR TEBO Тройник 63x40x63  (4/32шт)</t>
  </si>
  <si>
    <t>164.81 руб.</t>
  </si>
  <si>
    <t>ALT-110467</t>
  </si>
  <si>
    <t>PPR TEBO Тройник 63x50x63  (2/32шт)</t>
  </si>
  <si>
    <t>177.98 руб.</t>
  </si>
  <si>
    <t>ALT-110468</t>
  </si>
  <si>
    <t>PPR TEBO Тройник 75x32x75  (2/24шт)</t>
  </si>
  <si>
    <t>ALT-110469</t>
  </si>
  <si>
    <t>PPR TEBO Тройник 75x40x75  (2/20шт)</t>
  </si>
  <si>
    <t>292.03 руб.</t>
  </si>
  <si>
    <t>ALT-110470</t>
  </si>
  <si>
    <t>PPR TEBO Тройник 75x50x75  (2/20шт)</t>
  </si>
  <si>
    <t>329.62 руб.</t>
  </si>
  <si>
    <t>ALT-110471</t>
  </si>
  <si>
    <t>PPR TEBO Тройник 75x63x75  (2/18шт)</t>
  </si>
  <si>
    <t>362.88 руб.</t>
  </si>
  <si>
    <t>ALT-110472</t>
  </si>
  <si>
    <t>PPR TEBO Тройник 90x32x90  (1/18шт)</t>
  </si>
  <si>
    <t>ALT-110473</t>
  </si>
  <si>
    <t>PPR TEBO Тройник 90x40x90  (1/12шт)</t>
  </si>
  <si>
    <t>407.81 руб.</t>
  </si>
  <si>
    <t>ALT-110474</t>
  </si>
  <si>
    <t>PPR TEBO Тройник 90x50x90  (1/12шт)</t>
  </si>
  <si>
    <t>576.50 руб.</t>
  </si>
  <si>
    <t>ALT-110475</t>
  </si>
  <si>
    <t>PPR TEBO Тройник 90x63x90  (1/12шт)</t>
  </si>
  <si>
    <t>604.37 руб.</t>
  </si>
  <si>
    <t>ALT-110476</t>
  </si>
  <si>
    <t>PPR TEBO Тройник 90x75x90  (1/12шт)</t>
  </si>
  <si>
    <t>642.38 руб.</t>
  </si>
  <si>
    <t>ALT-110477</t>
  </si>
  <si>
    <t>PPR TEBO Тройник 110x50x110  (1/8шт)</t>
  </si>
  <si>
    <t>677.81 руб.</t>
  </si>
  <si>
    <t>ALT-110478</t>
  </si>
  <si>
    <t>PPR TEBO Тройник 110x63x110  (1/6шт)</t>
  </si>
  <si>
    <t>706.97 руб.</t>
  </si>
  <si>
    <t>ALT-110479</t>
  </si>
  <si>
    <t>PPR TEBO Тройник 110x75x110  (1/6шт)</t>
  </si>
  <si>
    <t>948.46 руб.</t>
  </si>
  <si>
    <t>ALT-110480</t>
  </si>
  <si>
    <t>PPR TEBO Тройник 110x90x110  (1/5шт)</t>
  </si>
  <si>
    <t>819.29 руб.</t>
  </si>
  <si>
    <t>ALT-110481</t>
  </si>
  <si>
    <t>PPR TEBO Тройник 160x110x160  (1/2шт)</t>
  </si>
  <si>
    <t>2 064.53 руб.</t>
  </si>
  <si>
    <t>ALT-110482</t>
  </si>
  <si>
    <t>PPR TEBO Тройник двухплоскостной 20  (50/400шт)</t>
  </si>
  <si>
    <t>16.20 руб.</t>
  </si>
  <si>
    <t>ALT-110483</t>
  </si>
  <si>
    <t>PPR TEBO Тройник двухплоскостной 25  (25/250шт)</t>
  </si>
  <si>
    <t>22.03 руб.</t>
  </si>
  <si>
    <t>ALT-110484</t>
  </si>
  <si>
    <t>PPR TEBO Тройник комб. вн.р. 20x1/2"  (20/120шт)</t>
  </si>
  <si>
    <t>85.10 руб.</t>
  </si>
  <si>
    <t>ALT-110485</t>
  </si>
  <si>
    <t>PPR TEBO Тройник комб. вн.р. 20x3/4"  (15/90шт)</t>
  </si>
  <si>
    <t>ALT-110486</t>
  </si>
  <si>
    <t>PPR TEBO Тройник комб. вн.р. 25x1/2"  (20/100шт)</t>
  </si>
  <si>
    <t>90.94 руб.</t>
  </si>
  <si>
    <t>ALT-110487</t>
  </si>
  <si>
    <t>PPR TEBO Тройник комб. вн.р. 25x3/4"  (10/80шт)</t>
  </si>
  <si>
    <t>117.50 руб.</t>
  </si>
  <si>
    <t>ALT-110488</t>
  </si>
  <si>
    <t>PPR TEBO Тройник комб. вн.р. 32x1/2"  (10/70шт)</t>
  </si>
  <si>
    <t>153.18 руб.</t>
  </si>
  <si>
    <t>ALT-110489</t>
  </si>
  <si>
    <t>PPR TEBO Тройник комб. вн.р. 32x3/4"  (10/60шт)</t>
  </si>
  <si>
    <t>130.46 руб.</t>
  </si>
  <si>
    <t>ALT-110490</t>
  </si>
  <si>
    <t>PPR TEBO Тройник комб. вн.р. 32x1"  (10/50шт)</t>
  </si>
  <si>
    <t>207.58 руб.</t>
  </si>
  <si>
    <t>ALT-110491</t>
  </si>
  <si>
    <t>PPR TEBO Тройник комб. нар.р. 20x1/2"  (20/120шт)</t>
  </si>
  <si>
    <t>105.62 руб.</t>
  </si>
  <si>
    <t>ALT-110492</t>
  </si>
  <si>
    <t>PPR TEBO Тройник комб. нар.р. 20x3/4"  (15/90шт)</t>
  </si>
  <si>
    <t>117.72 руб.</t>
  </si>
  <si>
    <t>ALT-110493</t>
  </si>
  <si>
    <t>PPR TEBO Тройник комб. нар.р. 25x1/2"  (15/90шт)</t>
  </si>
  <si>
    <t>134.18 руб.</t>
  </si>
  <si>
    <t>ALT-110494</t>
  </si>
  <si>
    <t>PPR TEBO Тройник комб. нар.р. 25x3/4"  (10/80шт)</t>
  </si>
  <si>
    <t>132.62 руб.</t>
  </si>
  <si>
    <t>ALT-110495</t>
  </si>
  <si>
    <t>PPR TEBO Тройник комб. нар.р. 32x1/2"  (10/70шт)</t>
  </si>
  <si>
    <t>164.29 руб.</t>
  </si>
  <si>
    <t>ALT-110496</t>
  </si>
  <si>
    <t>PPR TEBO Тройник комб. нар.р. 32x3/4"  (10/60шт)</t>
  </si>
  <si>
    <t>151.20 руб.</t>
  </si>
  <si>
    <t>ALT-110497</t>
  </si>
  <si>
    <t>PPR TEBO Тройник комб. нар.р. 32x1"  (10/40шт)</t>
  </si>
  <si>
    <t>230.26 руб.</t>
  </si>
  <si>
    <t>ALT-110498</t>
  </si>
  <si>
    <t>PPR TEBO Тройник с накидной гайкой 20x1/2" (метал. штуцер)  (25/150шт)</t>
  </si>
  <si>
    <t>ALT-110499</t>
  </si>
  <si>
    <t>PPR TEBO Тройник с накидной гайкой 20x3/4" (метал. штуцер)  (20/80шт)</t>
  </si>
  <si>
    <t>256.18 руб.</t>
  </si>
  <si>
    <t>ALT-110500</t>
  </si>
  <si>
    <t>PPR TEBO Тройник с накидной гайкой 25x3/4" (метал. штуцер)  (15/75шт)</t>
  </si>
  <si>
    <t>235.44 руб.</t>
  </si>
  <si>
    <t>ALT-110501</t>
  </si>
  <si>
    <t>PPR TEBO Тройник с накидной гайкой 25x1" (метал. штуцер)  (15/60шт)</t>
  </si>
  <si>
    <t>411.48 руб.</t>
  </si>
  <si>
    <t>ALT-110502</t>
  </si>
  <si>
    <t>PPR TEBO Тройник с накидной гайкой 32x1" (метал. штуцер)  (10/40шт)</t>
  </si>
  <si>
    <t>406.08 руб.</t>
  </si>
  <si>
    <t>ALT-110503</t>
  </si>
  <si>
    <t>PPR TEBO Тройник с накидной гайкой 32x1.1/4" (метал. штуцер)  (6/30шт)</t>
  </si>
  <si>
    <t>649.94 руб.</t>
  </si>
  <si>
    <t>ALT-110504</t>
  </si>
  <si>
    <t>PPR TEBO Распределительный блок 25x20  (6/60шт)</t>
  </si>
  <si>
    <t>ALT-110505</t>
  </si>
  <si>
    <t>PPR TEBO Вентиль 20  (5/50шт)</t>
  </si>
  <si>
    <t>450.14 руб.</t>
  </si>
  <si>
    <t>ALT-110506</t>
  </si>
  <si>
    <t>PPR TEBO Вентиль 25  (5/40шт)</t>
  </si>
  <si>
    <t>547.99 руб.</t>
  </si>
  <si>
    <t>ALT-110507</t>
  </si>
  <si>
    <t>PPR TEBO Вентиль 32  (6/36шт)</t>
  </si>
  <si>
    <t>754.70 руб.</t>
  </si>
  <si>
    <t>ALT-110508</t>
  </si>
  <si>
    <t>PPR TEBO Вентиль 40  (4/16шт)</t>
  </si>
  <si>
    <t>1 007.64 руб.</t>
  </si>
  <si>
    <t>ALT-110509</t>
  </si>
  <si>
    <t>PPR TEBO Вентиль 50  (3/12шт)</t>
  </si>
  <si>
    <t>1 393.20 руб.</t>
  </si>
  <si>
    <t>ALT-110510</t>
  </si>
  <si>
    <t>PPR TEBO Вентиль 63  (2/8шт)</t>
  </si>
  <si>
    <t>2 875.39 руб.</t>
  </si>
  <si>
    <t>ALT-110511</t>
  </si>
  <si>
    <t>PPR TEBO Вентиль 75  (1/4шт)</t>
  </si>
  <si>
    <t>2 879.28 руб.</t>
  </si>
  <si>
    <t>ALT-110512</t>
  </si>
  <si>
    <t>PPR TEBO Вентиль ручной балансировочный PP-R 25  (5/30шт)</t>
  </si>
  <si>
    <t>624.67 руб.</t>
  </si>
  <si>
    <t>ALT-110513</t>
  </si>
  <si>
    <t>PPR TEBO Вентиль ручной балансировочный PP-R 32  (3/18шт)</t>
  </si>
  <si>
    <t>854.28 руб.</t>
  </si>
  <si>
    <t>ALT-110514</t>
  </si>
  <si>
    <t>PPR TEBO Вентиль для радиаторов прямой 20x1/2"  (10/60шт)</t>
  </si>
  <si>
    <t>559.44 руб.</t>
  </si>
  <si>
    <t>ALT-110515</t>
  </si>
  <si>
    <t>PPR TEBO Вентиль для радиаторов прямой 25x3/4"  (5/50шт)</t>
  </si>
  <si>
    <t>687.10 руб.</t>
  </si>
  <si>
    <t>ALT-110516</t>
  </si>
  <si>
    <t>PPR TEBO Вентиль для радиаторов угловой 20x1/2"  (10/60шт)</t>
  </si>
  <si>
    <t>578.02 руб.</t>
  </si>
  <si>
    <t>ALT-110517</t>
  </si>
  <si>
    <t>PPR TEBO Вентиль для радиаторов угловой 25x3/4"  (5/45шт)</t>
  </si>
  <si>
    <t>702.65 руб.</t>
  </si>
  <si>
    <t>ALT-110518</t>
  </si>
  <si>
    <t>PPR TEBO Кран шаровой 20 полнопроходной (10/60шт)</t>
  </si>
  <si>
    <t>236.09 руб.</t>
  </si>
  <si>
    <t>ALT-110519</t>
  </si>
  <si>
    <t>Т-ППР.Кш.ПП.25.Б.РФ</t>
  </si>
  <si>
    <t>PPR TEBO Кран шаровой 25 полнопроходной (10/50шт)</t>
  </si>
  <si>
    <t>341.28 руб.</t>
  </si>
  <si>
    <t>ALT-110520</t>
  </si>
  <si>
    <t>PPR TEBO Кран шаровой 32 полнопроходной (5/30шт)</t>
  </si>
  <si>
    <t>566.57 руб.</t>
  </si>
  <si>
    <t>ALT-110521</t>
  </si>
  <si>
    <t>PPR TEBO Кран шаровой 40 полнопроходной (4/20шт)</t>
  </si>
  <si>
    <t>1 073.74 руб.</t>
  </si>
  <si>
    <t>ALT-110522</t>
  </si>
  <si>
    <t>PPR TEBO Кран шаровой 50 полнопроходной (2/12шт)</t>
  </si>
  <si>
    <t>1 892.16 руб.</t>
  </si>
  <si>
    <t>ALT-110523</t>
  </si>
  <si>
    <t>PPR TEBO Кран шаровой 63 полнопроходной (1/6шт)</t>
  </si>
  <si>
    <t>2 871.72 руб.</t>
  </si>
  <si>
    <t>ALT-110524</t>
  </si>
  <si>
    <t>PPR TEBO Кран шаровой Standart 20  (10/60шт)</t>
  </si>
  <si>
    <t>201.72 руб.</t>
  </si>
  <si>
    <t>ALT-110525</t>
  </si>
  <si>
    <t>PPR TEBO Кран шаровой Standart 25  (10/50шт)</t>
  </si>
  <si>
    <t>242.10 руб.</t>
  </si>
  <si>
    <t>ALT-110526</t>
  </si>
  <si>
    <t>PPR TEBO Кран шаровой Standart 32  (5/30шт)</t>
  </si>
  <si>
    <t>391.50 руб.</t>
  </si>
  <si>
    <t>ALT-110527</t>
  </si>
  <si>
    <t>PPR TEBO Шаровой кран для радиаторов прямой 20x1/2"  (10/60шт)</t>
  </si>
  <si>
    <t>394.42 руб.</t>
  </si>
  <si>
    <t>ALT-110528</t>
  </si>
  <si>
    <t>PPR TEBO Шаровой кран для радиаторов прямой 25x3/4"  (5/50шт)</t>
  </si>
  <si>
    <t>536.54 руб.</t>
  </si>
  <si>
    <t>ALT-110529</t>
  </si>
  <si>
    <t>PPR TEBO Шаровой кран для радиаторов угловой 20x1/2"  (10/60шт)</t>
  </si>
  <si>
    <t>ALT-110530</t>
  </si>
  <si>
    <t>PPR TEBO Шаровой кран для радиаторов угловой 25x3/4"  (5/45шт)</t>
  </si>
  <si>
    <t>541.08 руб.</t>
  </si>
  <si>
    <t>ALT-110531</t>
  </si>
  <si>
    <t>PPR TEBO Обратный клапан 20 PN25  (20/240шт)</t>
  </si>
  <si>
    <t>66.10 руб.</t>
  </si>
  <si>
    <t>ALT-110532</t>
  </si>
  <si>
    <t>PPR TEBO Обратный клапан 25 PN25  (15/180шт)</t>
  </si>
  <si>
    <t>66.74 руб.</t>
  </si>
  <si>
    <t>ALT-110533</t>
  </si>
  <si>
    <t>PPR TEBO Обратный клапан 32 PN25  (10/120шт)</t>
  </si>
  <si>
    <t>87.70 руб.</t>
  </si>
  <si>
    <t>ALT-110534</t>
  </si>
  <si>
    <t>PPR TEBO Фильтр сетчатый 20 вн./вн. (300мкм.)  (20/100шт)</t>
  </si>
  <si>
    <t>187.49 руб.</t>
  </si>
  <si>
    <t>ALT-110535</t>
  </si>
  <si>
    <t>015070102</t>
  </si>
  <si>
    <t>PPR TEBO Фильтр сетчатый 25 вн./вн. (300мкм.)  (10/50шт)</t>
  </si>
  <si>
    <t>266.11 руб.</t>
  </si>
  <si>
    <t>ALT-110536</t>
  </si>
  <si>
    <t>PPR TEBO Фильтр сетчатый 32 вн./вн. (300мкм.)  (5/30шт)</t>
  </si>
  <si>
    <t>420.98 руб.</t>
  </si>
  <si>
    <t>ALT-110537</t>
  </si>
  <si>
    <t>PPR TEBO Фильтр сетчатый 20 вн./нар. (300мкм.)  (20/100шт)</t>
  </si>
  <si>
    <t>193.10 руб.</t>
  </si>
  <si>
    <t>ALT-110538</t>
  </si>
  <si>
    <t>PPR TEBO Фильтр сетчатый 25 вн./нар. (300мкм.)  (10/50шт)</t>
  </si>
  <si>
    <t>267.41 руб.</t>
  </si>
  <si>
    <t>ALT-110539</t>
  </si>
  <si>
    <t>PPR TEBO Фильтр сетчатый 32 вн./нар. (300мкм.)  (5/30шт)</t>
  </si>
  <si>
    <t>440.86 руб.</t>
  </si>
  <si>
    <t>ALT-110540</t>
  </si>
  <si>
    <t>PPR TEBO Фильтр сетчатый 40 вн./нар. (300мкм.)  (4/16шт)</t>
  </si>
  <si>
    <t>688.39 руб.</t>
  </si>
  <si>
    <t>ALT-110541</t>
  </si>
  <si>
    <t>PPR TEBO Картридж для фильтра сетчатого 20 (800мкм.)  (200/1400шт)</t>
  </si>
  <si>
    <t>39.96 руб.</t>
  </si>
  <si>
    <t>ALT-110542</t>
  </si>
  <si>
    <t>PPR TEBO Картридж для фильтра сетчатого 25 (800мкм.)  (100/800шт)</t>
  </si>
  <si>
    <t>ALT-110543</t>
  </si>
  <si>
    <t>PPR TEBO Картридж для фильтра сетчатого 32 (800мкм.)  (50/350шт)</t>
  </si>
  <si>
    <t>56.16 руб.</t>
  </si>
  <si>
    <t>ALT-110544</t>
  </si>
  <si>
    <t>PPR TEBO Клапан запорный прям. 20x1/2  (15/90шт)</t>
  </si>
  <si>
    <t>519.91 руб.</t>
  </si>
  <si>
    <t>ALT-110545</t>
  </si>
  <si>
    <t>PPR TEBO Клапан запорный прям. 25x3/4  (10/60шт)</t>
  </si>
  <si>
    <t>662.26 руб.</t>
  </si>
  <si>
    <t>ALT-110546</t>
  </si>
  <si>
    <t>PPR TEBO Клапан запорный угл. 20x1/2  (15/90шт)</t>
  </si>
  <si>
    <t>509.76 руб.</t>
  </si>
  <si>
    <t>ALT-110547</t>
  </si>
  <si>
    <t>PPR TEBO Клапан запорный угл. 25x3/4  (10/60шт)</t>
  </si>
  <si>
    <t>721.44 руб.</t>
  </si>
  <si>
    <t>ALT-110548</t>
  </si>
  <si>
    <t>PPR TEBO Термоклапан прямой с преднастройкой 20x1/2"  (10/60шт)</t>
  </si>
  <si>
    <t>937.66 руб.</t>
  </si>
  <si>
    <t>ALT-110549</t>
  </si>
  <si>
    <t>PPR TEBO Термоклапан прямой с преднастройкой 25x3/4"  (8/48шт)</t>
  </si>
  <si>
    <t>1 032.48 руб.</t>
  </si>
  <si>
    <t>ALT-110550</t>
  </si>
  <si>
    <t>PPR TEBO Термоклапан угловой с преднастройкой 20x1/2"  (10/60шт)</t>
  </si>
  <si>
    <t>927.29 руб.</t>
  </si>
  <si>
    <t>ALT-110551</t>
  </si>
  <si>
    <t>PPR TEBO Термоклапан угловой с преднастройкой 25x3/4"  (8/48шт)</t>
  </si>
  <si>
    <t>1 022.11 руб.</t>
  </si>
  <si>
    <t>ALT-110552</t>
  </si>
  <si>
    <t>PPR TEBO Комплект №1 - ПРЯМОЙ 1/2 (Клапан терм. 20x1/2, кл.запор. 20x1/2, термоголовка) (1/17шт)</t>
  </si>
  <si>
    <t>1 432.51 руб.</t>
  </si>
  <si>
    <t>ALT-110553</t>
  </si>
  <si>
    <t>PPR TEBO Комплект №2 - ПРЯМОЙ 3/4 (Клапан терм. 25x3/4, кл.запор. 25x3/4, термоголовка) (1/17шт)</t>
  </si>
  <si>
    <t>2 234.95 руб.</t>
  </si>
  <si>
    <t>ALT-110554</t>
  </si>
  <si>
    <t>PPR TEBO Комплект №3 - УГЛОВОЙ 1/2 (Клапан терм. 20x1/2, кл.запор. 20x1/2, термоголовка) (1/17шт)</t>
  </si>
  <si>
    <t>1 420.63 руб.</t>
  </si>
  <si>
    <t>ALT-110555</t>
  </si>
  <si>
    <t>PPR TEBO Комплект №4 - УГЛОВОЙ 3/4 (Клапан терм. 25x3/4, кл.запор. 25x3/4, термоголовка) (1/17шт)</t>
  </si>
  <si>
    <t>2 275.78 руб.</t>
  </si>
  <si>
    <t>ALT-110556</t>
  </si>
  <si>
    <t>PPR TEBO Комплект №5 - ПРЯМОЙ 1/2 (Клапан терм. 20x1/2, кл.запорный 20x1/2) (1/17шт)</t>
  </si>
  <si>
    <t>1 175.47 руб.</t>
  </si>
  <si>
    <t>ALT-110557</t>
  </si>
  <si>
    <t>PPR TEBO Комплект №6 - ПРЯМОЙ 3/4 (Клапан терм. 25x3/4, кл.запорный 25x3/4) (1/17шт)</t>
  </si>
  <si>
    <t>1 822.82 руб.</t>
  </si>
  <si>
    <t>ALT-110558</t>
  </si>
  <si>
    <t>PPR TEBO Комплект №7 - УГЛОВОЙ 1/2 (Клапан терм. 20x1/2, кл.запорный 20x1/2) (1/17шт)</t>
  </si>
  <si>
    <t>1 101.17 руб.</t>
  </si>
  <si>
    <t>ALT-110559</t>
  </si>
  <si>
    <t>PPR TEBO Комплект №8 - УГЛОВОЙ 3/4 (Клапан терм 25x3/4, кл.запорный 25x3/4) (1/17шт)</t>
  </si>
  <si>
    <t>1 874.66 руб.</t>
  </si>
  <si>
    <t>ALT-110560</t>
  </si>
  <si>
    <t>PPR TEBO Комплект №9 - ПРЯМОЙ 1/2 (Клапан запорный ручной 20x1/2, вентиль настроеч 20x1/2) (1/17шт)</t>
  </si>
  <si>
    <t>1 316.95 руб.</t>
  </si>
  <si>
    <t>ALT-110561</t>
  </si>
  <si>
    <t>PPR TEBO Комплект №10 - ПРЯМОЙ 3/4 (Клапан запорный ручной 25х3/4, вентиль настроеч 25х3/4) (1/17шт)</t>
  </si>
  <si>
    <t>1 649.38 руб.</t>
  </si>
  <si>
    <t>ALT-110562</t>
  </si>
  <si>
    <t>PPR TEBO Комплект №11 -УГЛОВОЙ 1/2 (Клапан запорный ручной 20x1/2, вентиль настроеч 20x1/2) (1/17шт)</t>
  </si>
  <si>
    <t>969.84 руб.</t>
  </si>
  <si>
    <t>ALT-110563</t>
  </si>
  <si>
    <t>PPR TEBO Комплект №12 -УГЛОВОЙ 3/4 (Клапан запорный ручной 25x3/4, вентиль настроеч 25x3/4) (1/17шт)</t>
  </si>
  <si>
    <t>1 296.22 руб.</t>
  </si>
  <si>
    <t>ALT-110564</t>
  </si>
  <si>
    <t>PPR TEBO Заглушка 20  (100/1600шт)</t>
  </si>
  <si>
    <t>5.32 руб.</t>
  </si>
  <si>
    <t>ALT-110565</t>
  </si>
  <si>
    <t>T-ПНД.З.0.25.CN</t>
  </si>
  <si>
    <t>PPR TEBO Заглушка 25  (80/800шт)</t>
  </si>
  <si>
    <t>8.12 руб.</t>
  </si>
  <si>
    <t>ALT-110566</t>
  </si>
  <si>
    <t>PPR TEBO Заглушка 32  (50/400шт)</t>
  </si>
  <si>
    <t>14.51 руб.</t>
  </si>
  <si>
    <t>ALT-110567</t>
  </si>
  <si>
    <t>PPR TEBO Заглушка 40  (25/200шт)</t>
  </si>
  <si>
    <t>29.38 руб.</t>
  </si>
  <si>
    <t>ALT-110568</t>
  </si>
  <si>
    <t>PPR TEBO Заглушка 50  (20/160шт)</t>
  </si>
  <si>
    <t>51.62 руб.</t>
  </si>
  <si>
    <t>ALT-110569</t>
  </si>
  <si>
    <t>PPR TEBO Заглушка 63  (10/80шт)</t>
  </si>
  <si>
    <t>ALT-110570</t>
  </si>
  <si>
    <t>PPR TEBO Заглушка 75  (6/48шт)</t>
  </si>
  <si>
    <t>185.33 руб.</t>
  </si>
  <si>
    <t>ALT-110571</t>
  </si>
  <si>
    <t>PPR TEBO Заглушка 90  (4/32шт)</t>
  </si>
  <si>
    <t>242.57 руб.</t>
  </si>
  <si>
    <t>ALT-110572</t>
  </si>
  <si>
    <t>PPR TEBO Заглушка 110  (2/20шт)</t>
  </si>
  <si>
    <t>401.54 руб.</t>
  </si>
  <si>
    <t>ALT-110573</t>
  </si>
  <si>
    <t>PPR TEBO Заглушка 125  (1/15шт)</t>
  </si>
  <si>
    <t>756.86 руб.</t>
  </si>
  <si>
    <t>ALT-110574</t>
  </si>
  <si>
    <t>PPR TEBO Заглушка 160  (1/7шт)</t>
  </si>
  <si>
    <t>1 058.40 руб.</t>
  </si>
  <si>
    <t>ALT-110575</t>
  </si>
  <si>
    <t>PPR TEBO Заглушка 20x1/2"  (170/1700шт)</t>
  </si>
  <si>
    <t>4.32 руб.</t>
  </si>
  <si>
    <t>ALT-110576</t>
  </si>
  <si>
    <t>PPR TEBO Заглушка 25x3/4"  (80/960шт)</t>
  </si>
  <si>
    <t>6.91 руб.</t>
  </si>
  <si>
    <t>ALT-110577</t>
  </si>
  <si>
    <t>PPR TEBO Заглушка 32x1"  (60/600шт)</t>
  </si>
  <si>
    <t>11.02 руб.</t>
  </si>
  <si>
    <t>ALT-110578</t>
  </si>
  <si>
    <t>PPR TEBO Крестовина 20  (30/300шт)</t>
  </si>
  <si>
    <t>26.14 руб.</t>
  </si>
  <si>
    <t>ALT-110579</t>
  </si>
  <si>
    <t>PPR TEBO Крестовина 25  (20/200шт)</t>
  </si>
  <si>
    <t>31.32 руб.</t>
  </si>
  <si>
    <t>ALT-110580</t>
  </si>
  <si>
    <t>PPR TEBO Крестовина 32  (10/100шт)</t>
  </si>
  <si>
    <t>ALT-110581</t>
  </si>
  <si>
    <t>PPR TEBO Крестовина 40  (5/60шт)</t>
  </si>
  <si>
    <t>72.36 руб.</t>
  </si>
  <si>
    <t>ALT-110582</t>
  </si>
  <si>
    <t>PPR TEBO Крестовина 50  (4/32шт)</t>
  </si>
  <si>
    <t>ALT-110583</t>
  </si>
  <si>
    <t>PPR TEBO Обводное колено 20  (50/150шт)</t>
  </si>
  <si>
    <t>ALT-110584</t>
  </si>
  <si>
    <t>PPR TEBO Обводное колено 25  (25/100шт)</t>
  </si>
  <si>
    <t>46.66 руб.</t>
  </si>
  <si>
    <t>ALT-110585</t>
  </si>
  <si>
    <t>PPR TEBO Обводное колено 32  (25/50шт)</t>
  </si>
  <si>
    <t>82.30 руб.</t>
  </si>
  <si>
    <t>ALT-110586</t>
  </si>
  <si>
    <t>PPR TEBO Обводное колено 40  (15/30шт)</t>
  </si>
  <si>
    <t>198.29 руб.</t>
  </si>
  <si>
    <t>ALT-110587</t>
  </si>
  <si>
    <t>030093501</t>
  </si>
  <si>
    <t>PPR TEBO Обводное колено раструбное 20  (30/330шт)</t>
  </si>
  <si>
    <t>20.09 руб.</t>
  </si>
  <si>
    <t>ALT-110588</t>
  </si>
  <si>
    <t>PPR TEBO Обводное колено раструбное 25  (20/200шт)</t>
  </si>
  <si>
    <t>24.62 руб.</t>
  </si>
  <si>
    <t>ALT-110589</t>
  </si>
  <si>
    <t>PPR TEBO Обводное колено раструбное 32  (11/110шт)</t>
  </si>
  <si>
    <t>51.19 руб.</t>
  </si>
  <si>
    <t>ALT-110590</t>
  </si>
  <si>
    <t>PPR TEBO Компенсатор 20  (1/65шт)</t>
  </si>
  <si>
    <t>138.35 руб.</t>
  </si>
  <si>
    <t>ALT-110591</t>
  </si>
  <si>
    <t>PPR TEBO Компенсатор 25  (1/45шт)</t>
  </si>
  <si>
    <t>222.90 руб.</t>
  </si>
  <si>
    <t>ALT-110592</t>
  </si>
  <si>
    <t>PPR TEBO Компенсатор 32  (1/22шт)</t>
  </si>
  <si>
    <t>420.28 руб.</t>
  </si>
  <si>
    <t>ALT-110593</t>
  </si>
  <si>
    <t>PPR TEBO Компенсатор 40  (1/15шт)</t>
  </si>
  <si>
    <t>785.89 руб.</t>
  </si>
  <si>
    <t>ALT-110594</t>
  </si>
  <si>
    <t>PPR TEBO Компенсатор Козлова 25  (10/50шт)</t>
  </si>
  <si>
    <t>1 967.11 руб.</t>
  </si>
  <si>
    <t>ALT-110595</t>
  </si>
  <si>
    <t>PPR TEBO Компенсатор Козлова 32  (6/24шт)</t>
  </si>
  <si>
    <t>2 537.35 руб.</t>
  </si>
  <si>
    <t>ALT-110596</t>
  </si>
  <si>
    <t>PPR TEBO Компенсатор Козлова 40  (5/15шт)</t>
  </si>
  <si>
    <t>3 171.96 руб.</t>
  </si>
  <si>
    <t>ALT-110597</t>
  </si>
  <si>
    <t>PPR TEBO Компенсатор Козлова 50  (4/8шт)</t>
  </si>
  <si>
    <t>4 766.26 руб.</t>
  </si>
  <si>
    <t>ALT-110598</t>
  </si>
  <si>
    <t>PPR TEBO Бурт под фланец 40  (15/165шт)</t>
  </si>
  <si>
    <t>ALT-110599</t>
  </si>
  <si>
    <t>PPR TEBO Бурт под фланец 50  (15/120шт)</t>
  </si>
  <si>
    <t>ALT-110600</t>
  </si>
  <si>
    <t>PPR TEBO Бурт под фланец 63  (10/100шт)</t>
  </si>
  <si>
    <t>55.94 руб.</t>
  </si>
  <si>
    <t>ALT-110601</t>
  </si>
  <si>
    <t>PPR TEBO Бурт под фланец 75  (4/72шт)</t>
  </si>
  <si>
    <t>ALT-110602</t>
  </si>
  <si>
    <t>PPR TEBO Бурт под фланец 90  (4/48шт)</t>
  </si>
  <si>
    <t>171.50 руб.</t>
  </si>
  <si>
    <t>ALT-110603</t>
  </si>
  <si>
    <t>PPR TEBO Бурт под фланец 110  (2/22шт)</t>
  </si>
  <si>
    <t>181.22 руб.</t>
  </si>
  <si>
    <t>ALT-110604</t>
  </si>
  <si>
    <t>PPR TEBO Бурт под фланец 125  (1/12шт)</t>
  </si>
  <si>
    <t>592.70 руб.</t>
  </si>
  <si>
    <t>ALT-110605</t>
  </si>
  <si>
    <t>PPR TEBO Бурт под фланец 160  (1/6шт)</t>
  </si>
  <si>
    <t>709.34 руб.</t>
  </si>
  <si>
    <t>ALT-110606</t>
  </si>
  <si>
    <t>PPR TEBO Фланец пластиковый (ABS) 40 PN10 / сталь Dу 32  (5/60шт)</t>
  </si>
  <si>
    <t>253.37 руб.</t>
  </si>
  <si>
    <t>ALT-110607</t>
  </si>
  <si>
    <t>PPR TEBO Фланец пластиковый (ABS) 50 PN10 / сталь Dу 40  (4/48шт)</t>
  </si>
  <si>
    <t>295.49 руб.</t>
  </si>
  <si>
    <t>ALT-110608</t>
  </si>
  <si>
    <t>PPR TEBO Фланец пластиковый (ABS) 63 PN10 / сталь Dу 50  (3/36шт)</t>
  </si>
  <si>
    <t>338.47 руб.</t>
  </si>
  <si>
    <t>ALT-110609</t>
  </si>
  <si>
    <t>PPR TEBO Фланец пластиковый (ABS) 75 PN10 / сталь Dу 65  (2/30шт)</t>
  </si>
  <si>
    <t>480.38 руб.</t>
  </si>
  <si>
    <t>ALT-110610</t>
  </si>
  <si>
    <t>PPR TEBO Фланец пластиковый (ABS) 90 PN10 / сталь Dу 80  (1/22шт)</t>
  </si>
  <si>
    <t>457.27 руб.</t>
  </si>
  <si>
    <t>ALT-110611</t>
  </si>
  <si>
    <t>PPR TEBO Фланец пластиковый (ABS) 110 PN10 / сталь Dу 100  (1/18шт)</t>
  </si>
  <si>
    <t>668.95 руб.</t>
  </si>
  <si>
    <t>ALT-110629</t>
  </si>
  <si>
    <t>PPR TEBO Вварное седло 63/25  (40/320шт)</t>
  </si>
  <si>
    <t>22.68 руб.</t>
  </si>
  <si>
    <t>ALT-110630</t>
  </si>
  <si>
    <t>PPR TEBO Вварное седло 75/25  (35/280шт)</t>
  </si>
  <si>
    <t>20.95 руб.</t>
  </si>
  <si>
    <t>ALT-110631</t>
  </si>
  <si>
    <t>PPR TEBO Вварное седло 75/32  (30/240шт)</t>
  </si>
  <si>
    <t>ALT-110632</t>
  </si>
  <si>
    <t>PPR TEBO Вварное седло 90/25  (30/240шт)</t>
  </si>
  <si>
    <t>27.43 руб.</t>
  </si>
  <si>
    <t>ALT-110633</t>
  </si>
  <si>
    <t>PPR TEBO Вварное седло 90/32  (25/200шт)</t>
  </si>
  <si>
    <t>ALT-110634</t>
  </si>
  <si>
    <t>PPR TEBO Гидрострелка PP-R 75x25x4 одноконтурная  (1/1шт)</t>
  </si>
  <si>
    <t>5 021.85 руб.</t>
  </si>
  <si>
    <t>ALT-110635</t>
  </si>
  <si>
    <t>PPR TEBO Гидрострелка PP-R 75x25x6 двухконтурная  (1/1шт)</t>
  </si>
  <si>
    <t>5 908.38 руб.</t>
  </si>
  <si>
    <t>ALT-110636</t>
  </si>
  <si>
    <t>PPR TEBO Гидрострелка PP-R 75x25x8 трёхконтурная  (1/1шт)</t>
  </si>
  <si>
    <t>6 705.72 руб.</t>
  </si>
  <si>
    <t>ALT-110637</t>
  </si>
  <si>
    <t>PPR TEBO Гидрострелка PP-R 75x32x4 одноконтурная  (1/1шт)</t>
  </si>
  <si>
    <t>5 133.36 руб.</t>
  </si>
  <si>
    <t>ALT-110638</t>
  </si>
  <si>
    <t>PPR TEBO Гидрострелка PP-R 75x32x6 двухконтурная  (1/1шт)</t>
  </si>
  <si>
    <t>5 988.31 руб.</t>
  </si>
  <si>
    <t>ALT-110639</t>
  </si>
  <si>
    <t>PPR TEBO Гидрострелка PP-R 75x32x8 трёхконтурная  (1/1шт)</t>
  </si>
  <si>
    <t>6 826.52 руб.</t>
  </si>
  <si>
    <t>ALT-110640</t>
  </si>
  <si>
    <t>PPR TEBO Гидрострелка PP-R 90x32x4 одноконтурная  (1/1шт)</t>
  </si>
  <si>
    <t>5 492.07 руб.</t>
  </si>
  <si>
    <t>ALT-110641</t>
  </si>
  <si>
    <t>PPR TEBO Гидрострелка PP-R 90x32x6 двухконтурная  (1/1шт)</t>
  </si>
  <si>
    <t>6 438.07 руб.</t>
  </si>
  <si>
    <t>ALT-110642</t>
  </si>
  <si>
    <t>PPR TEBO Гидрострелка PP-R 90x32x8 трёхконтурная  (1/1шт)</t>
  </si>
  <si>
    <t>7 276.29 руб.</t>
  </si>
  <si>
    <t>ALT-110643</t>
  </si>
  <si>
    <t>PPR TEBO Коллектор 32x20x3 вых. красн.  (3/18шт)</t>
  </si>
  <si>
    <t>545.62 руб.</t>
  </si>
  <si>
    <t>ALT-110644</t>
  </si>
  <si>
    <t>PPR TEBO Коллектор 32x20x3 вых. син.  (3/18шт)</t>
  </si>
  <si>
    <t>535.03 руб.</t>
  </si>
  <si>
    <t>ALT-110645</t>
  </si>
  <si>
    <t>PPR TEBO Коллектор 32x20x4 вых. красн.  (2/14шт)</t>
  </si>
  <si>
    <t>711.29 руб.</t>
  </si>
  <si>
    <t>ALT-110646</t>
  </si>
  <si>
    <t>PPR TEBO Коллектор 32x20x4 вых. син.  (2/14шт)</t>
  </si>
  <si>
    <t>734.62 руб.</t>
  </si>
  <si>
    <t>ALT-110647</t>
  </si>
  <si>
    <t>PPR TEBO Коллектор 40x20x2 вых. красн.  (1/25шт)</t>
  </si>
  <si>
    <t>ALT-110648</t>
  </si>
  <si>
    <t>PPR TEBO Коллектор 40x20x2 вых. син.  (1/25шт)</t>
  </si>
  <si>
    <t>460.53 руб.</t>
  </si>
  <si>
    <t>ALT-110649</t>
  </si>
  <si>
    <t>PPR TEBO Коллектор 40x20x4 вых. красн.  (1/15шт)</t>
  </si>
  <si>
    <t>841.50 руб.</t>
  </si>
  <si>
    <t>ALT-110650</t>
  </si>
  <si>
    <t>PPR TEBO Коллектор 40x20x4 вых. син.  (1/15шт)</t>
  </si>
  <si>
    <t>ALT-110651</t>
  </si>
  <si>
    <t>PPR TEBO Коллектор 40x20x5 вых. красн.  (1/10шт)</t>
  </si>
  <si>
    <t>1 141.38 руб.</t>
  </si>
  <si>
    <t>ALT-110652</t>
  </si>
  <si>
    <t>PPR TEBO Коллектор 25x20x2 вых. универсальный  (5/25шт)</t>
  </si>
  <si>
    <t>365.69 руб.</t>
  </si>
  <si>
    <t>ALT-110653</t>
  </si>
  <si>
    <t>PPR TEBO Коллектор 25x20x3 вых. универсальный  (3/18шт)</t>
  </si>
  <si>
    <t>530.06 руб.</t>
  </si>
  <si>
    <t>ALT-110654</t>
  </si>
  <si>
    <t>PPR TEBO Коллектор 25x20x4 вых. универсальный  (3/15шт)</t>
  </si>
  <si>
    <t>685.37 руб.</t>
  </si>
  <si>
    <t>ALT-110655</t>
  </si>
  <si>
    <t>PPR TEBO Коллектор 32x20x3 вых. универсальный  (3/18шт)</t>
  </si>
  <si>
    <t>582.55 руб.</t>
  </si>
  <si>
    <t>ALT-110656</t>
  </si>
  <si>
    <t>PPR TEBO Коллектор 32x20x4 вых. универсальный  (2/14шт)</t>
  </si>
  <si>
    <t>746.06 руб.</t>
  </si>
  <si>
    <t>ALT-110657</t>
  </si>
  <si>
    <t>PPR TEBO Коллектор 32x20x5 вых. универсальный  (2/12шт)</t>
  </si>
  <si>
    <t>917.57 руб.</t>
  </si>
  <si>
    <t>ALT-110658</t>
  </si>
  <si>
    <t>PPR TEBO Коллектор 40x20x2 вых. универсальный  (3/18шт)</t>
  </si>
  <si>
    <t>436.75 руб.</t>
  </si>
  <si>
    <t>ALT-110659</t>
  </si>
  <si>
    <t>PPR TEBO Коллектор 40x20x3 вых. универсальный  (2/12шт)</t>
  </si>
  <si>
    <t>683.42 руб.</t>
  </si>
  <si>
    <t>ALT-110660</t>
  </si>
  <si>
    <t>PPR TEBO Коллектор 40x20x4 вых. универсальный  (2/10шт)</t>
  </si>
  <si>
    <t>1 240.49 руб.</t>
  </si>
  <si>
    <t>ALT-110661</t>
  </si>
  <si>
    <t>PPR TEBO Коллектор 40x20x5 вых. универсальный  (2/8шт)</t>
  </si>
  <si>
    <t>ALT-110662</t>
  </si>
  <si>
    <t>PPR TEBO Заглушка для коллектора 25  (60/600шт)</t>
  </si>
  <si>
    <t>12.96 руб.</t>
  </si>
  <si>
    <t>ALT-110663</t>
  </si>
  <si>
    <t>PPR TEBO Заглушка для коллектора 32  (40/400шт)</t>
  </si>
  <si>
    <t>19.87 руб.</t>
  </si>
  <si>
    <t>ALT-110664</t>
  </si>
  <si>
    <t>PPR TEBO Заглушка для коллектора 40  (30/330шт)</t>
  </si>
  <si>
    <t>38.88 руб.</t>
  </si>
  <si>
    <t>ALT-110665</t>
  </si>
  <si>
    <t>PPR TEBO Заглушка для коллектора 25 с воздухоотводчиком  (50/250шт)</t>
  </si>
  <si>
    <t>144.94 руб.</t>
  </si>
  <si>
    <t>ALT-110666</t>
  </si>
  <si>
    <t>PPR TEBO Заглушка для коллектора 32 с воздухоотводчиком  (35/140шт)</t>
  </si>
  <si>
    <t>ALT-110667</t>
  </si>
  <si>
    <t>PPR TEBO Заглушка для коллектора 40 с воздухоотводчиком  (30/120шт)</t>
  </si>
  <si>
    <t>206.93 руб.</t>
  </si>
  <si>
    <t>ALT-110668</t>
  </si>
  <si>
    <t>PPR TEBO Крепление для коллектора 25/32 (комплект 2 шт)  (1/30шт)</t>
  </si>
  <si>
    <t>193.32 руб.</t>
  </si>
  <si>
    <t>ALT-110669</t>
  </si>
  <si>
    <t>PPR TEBO Крепление для коллектора 40 (комплект 2 шт) (комп) (1/20шт)</t>
  </si>
  <si>
    <t>167.18 руб.</t>
  </si>
  <si>
    <t>ALT-110670</t>
  </si>
  <si>
    <t>PPR TEBO Переходник комбинированный PP-R 20 - PЕ-Х16х2(цанга)  (50/300шт)</t>
  </si>
  <si>
    <t>218.38 руб.</t>
  </si>
  <si>
    <t>ALT-110774</t>
  </si>
  <si>
    <t>Заглушка тестовая длинная 1/2" красная ТЕБО (10/100шт)</t>
  </si>
  <si>
    <t>28.69 руб.</t>
  </si>
  <si>
    <t>ALT-110775</t>
  </si>
  <si>
    <t>Заглушка тестовая длинная 1/2" синяя ТЕБО (10/100шт)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</si>
</sst>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fb3c3fe_7e0e_11ed_a39b_047c1617b143_0d87f5c7_a593_11ee_a526_047c1617b1431.jpeg"/><Relationship Id="rId2" Type="http://schemas.openxmlformats.org/officeDocument/2006/relationships/image" Target="../media/1fb3c400_7e0e_11ed_a39b_047c1617b143_0d87f5c8_a593_11ee_a526_047c1617b1432.jpeg"/><Relationship Id="rId3" Type="http://schemas.openxmlformats.org/officeDocument/2006/relationships/image" Target="../media/1fb3c402_7e0e_11ed_a39b_047c1617b143_0d87f5c9_a593_11ee_a526_047c1617b1433.jpeg"/><Relationship Id="rId4" Type="http://schemas.openxmlformats.org/officeDocument/2006/relationships/image" Target="../media/1fb3c404_7e0e_11ed_a39b_047c1617b143_0d87f5ca_a593_11ee_a526_047c1617b1434.jpeg"/><Relationship Id="rId5" Type="http://schemas.openxmlformats.org/officeDocument/2006/relationships/image" Target="../media/1fb3c406_7e0e_11ed_a39b_047c1617b143_0d87f5cb_a593_11ee_a526_047c1617b1435.jpeg"/><Relationship Id="rId6" Type="http://schemas.openxmlformats.org/officeDocument/2006/relationships/image" Target="../media/1fb3c408_7e0e_11ed_a39b_047c1617b143_0d87f5cc_a593_11ee_a526_047c1617b1436.jpeg"/><Relationship Id="rId7" Type="http://schemas.openxmlformats.org/officeDocument/2006/relationships/image" Target="../media/1fb3c40a_7e0e_11ed_a39b_047c1617b143_0d87f5cd_a593_11ee_a526_047c1617b1437.jpeg"/><Relationship Id="rId8" Type="http://schemas.openxmlformats.org/officeDocument/2006/relationships/image" Target="../media/1fb3c40c_7e0e_11ed_a39b_047c1617b143_0d87f5ce_a593_11ee_a526_047c1617b1438.jpeg"/><Relationship Id="rId9" Type="http://schemas.openxmlformats.org/officeDocument/2006/relationships/image" Target="../media/1fb3c40e_7e0e_11ed_a39b_047c1617b143_0d87f5c4_a593_11ee_a526_047c1617b1439.jpeg"/><Relationship Id="rId10" Type="http://schemas.openxmlformats.org/officeDocument/2006/relationships/image" Target="../media/1fb3c410_7e0e_11ed_a39b_047c1617b143_0d87f5c5_a593_11ee_a526_047c1617b14310.jpeg"/><Relationship Id="rId11" Type="http://schemas.openxmlformats.org/officeDocument/2006/relationships/image" Target="../media/1fb3c412_7e0e_11ed_a39b_047c1617b143_0d87f5c6_a593_11ee_a526_047c1617b14311.jpeg"/><Relationship Id="rId12" Type="http://schemas.openxmlformats.org/officeDocument/2006/relationships/image" Target="../media/1fb3c414_7e0e_11ed_a39b_047c1617b143_0d87f583_a593_11ee_a526_047c1617b14312.jpeg"/><Relationship Id="rId13" Type="http://schemas.openxmlformats.org/officeDocument/2006/relationships/image" Target="../media/1fb3c416_7e0e_11ed_a39b_047c1617b143_0d87f584_a593_11ee_a526_047c1617b14313.jpeg"/><Relationship Id="rId14" Type="http://schemas.openxmlformats.org/officeDocument/2006/relationships/image" Target="../media/1fb3c418_7e0e_11ed_a39b_047c1617b143_0d87f585_a593_11ee_a526_047c1617b14314.jpeg"/><Relationship Id="rId15" Type="http://schemas.openxmlformats.org/officeDocument/2006/relationships/image" Target="../media/ddc671ba_7e0e_11ed_a39b_047c1617b143_0d87f586_a593_11ee_a526_047c1617b14315.jpeg"/><Relationship Id="rId16" Type="http://schemas.openxmlformats.org/officeDocument/2006/relationships/image" Target="../media/ddc671bc_7e0e_11ed_a39b_047c1617b143_0d87f587_a593_11ee_a526_047c1617b14316.jpeg"/><Relationship Id="rId17" Type="http://schemas.openxmlformats.org/officeDocument/2006/relationships/image" Target="../media/ddc671be_7e0e_11ed_a39b_047c1617b143_0d87f588_a593_11ee_a526_047c1617b14317.jpeg"/><Relationship Id="rId18" Type="http://schemas.openxmlformats.org/officeDocument/2006/relationships/image" Target="../media/ddc671c0_7e0e_11ed_a39b_047c1617b143_0d87f589_a593_11ee_a526_047c1617b14318.jpeg"/><Relationship Id="rId19" Type="http://schemas.openxmlformats.org/officeDocument/2006/relationships/image" Target="../media/ddc671c2_7e0e_11ed_a39b_047c1617b143_0d87f58a_a593_11ee_a526_047c1617b14319.jpeg"/><Relationship Id="rId20" Type="http://schemas.openxmlformats.org/officeDocument/2006/relationships/image" Target="../media/ddc671c4_7e0e_11ed_a39b_047c1617b143_0d87f58b_a593_11ee_a526_047c1617b14320.jpeg"/><Relationship Id="rId21" Type="http://schemas.openxmlformats.org/officeDocument/2006/relationships/image" Target="../media/ddc671c6_7e0e_11ed_a39b_047c1617b143_0d87f58c_a593_11ee_a526_047c1617b14321.jpeg"/><Relationship Id="rId22" Type="http://schemas.openxmlformats.org/officeDocument/2006/relationships/image" Target="../media/ddc671c8_7e0e_11ed_a39b_047c1617b143_0d87f58d_a593_11ee_a526_047c1617b14322.jpeg"/><Relationship Id="rId23" Type="http://schemas.openxmlformats.org/officeDocument/2006/relationships/image" Target="../media/ddc671ca_7e0e_11ed_a39b_047c1617b143_0d87f58e_a593_11ee_a526_047c1617b14323.jpeg"/><Relationship Id="rId24" Type="http://schemas.openxmlformats.org/officeDocument/2006/relationships/image" Target="../media/ddc671cc_7e0e_11ed_a39b_047c1617b143_0d87f58f_a593_11ee_a526_047c1617b14324.jpeg"/><Relationship Id="rId25" Type="http://schemas.openxmlformats.org/officeDocument/2006/relationships/image" Target="../media/ddc671ce_7e0e_11ed_a39b_047c1617b143_0d87f590_a593_11ee_a526_047c1617b14325.jpeg"/><Relationship Id="rId26" Type="http://schemas.openxmlformats.org/officeDocument/2006/relationships/image" Target="../media/ddc671d0_7e0e_11ed_a39b_047c1617b143_0d87f591_a593_11ee_a526_047c1617b14326.jpeg"/><Relationship Id="rId27" Type="http://schemas.openxmlformats.org/officeDocument/2006/relationships/image" Target="../media/ddc671d2_7e0e_11ed_a39b_047c1617b143_0d87f592_a593_11ee_a526_047c1617b14327.jpeg"/><Relationship Id="rId28" Type="http://schemas.openxmlformats.org/officeDocument/2006/relationships/image" Target="../media/ddc671d4_7e0e_11ed_a39b_047c1617b143_0d87f593_a593_11ee_a526_047c1617b14328.jpeg"/><Relationship Id="rId29" Type="http://schemas.openxmlformats.org/officeDocument/2006/relationships/image" Target="../media/ddc671d6_7e0e_11ed_a39b_047c1617b143_0d87f594_a593_11ee_a526_047c1617b14329.jpeg"/><Relationship Id="rId30" Type="http://schemas.openxmlformats.org/officeDocument/2006/relationships/image" Target="../media/ddc671d8_7e0e_11ed_a39b_047c1617b143_0d87f595_a593_11ee_a526_047c1617b14330.jpeg"/><Relationship Id="rId31" Type="http://schemas.openxmlformats.org/officeDocument/2006/relationships/image" Target="../media/ddc671da_7e0e_11ed_a39b_047c1617b143_0d87f596_a593_11ee_a526_047c1617b14331.jpeg"/><Relationship Id="rId32" Type="http://schemas.openxmlformats.org/officeDocument/2006/relationships/image" Target="../media/ddc671dc_7e0e_11ed_a39b_047c1617b143_0d87f597_a593_11ee_a526_047c1617b14332.jpeg"/><Relationship Id="rId33" Type="http://schemas.openxmlformats.org/officeDocument/2006/relationships/image" Target="../media/ddc671de_7e0e_11ed_a39b_047c1617b143_0d87f598_a593_11ee_a526_047c1617b14333.jpeg"/><Relationship Id="rId34" Type="http://schemas.openxmlformats.org/officeDocument/2006/relationships/image" Target="../media/ddc671e0_7e0e_11ed_a39b_047c1617b143_0d87f599_a593_11ee_a526_047c1617b14334.jpeg"/><Relationship Id="rId35" Type="http://schemas.openxmlformats.org/officeDocument/2006/relationships/image" Target="../media/ddc671e2_7e0e_11ed_a39b_047c1617b143_0d87f59a_a593_11ee_a526_047c1617b14335.jpeg"/><Relationship Id="rId36" Type="http://schemas.openxmlformats.org/officeDocument/2006/relationships/image" Target="../media/ddc671e4_7e0e_11ed_a39b_047c1617b143_0d87f57d_a593_11ee_a526_047c1617b14336.jpeg"/><Relationship Id="rId37" Type="http://schemas.openxmlformats.org/officeDocument/2006/relationships/image" Target="../media/ddc671e6_7e0e_11ed_a39b_047c1617b143_0d87f57e_a593_11ee_a526_047c1617b14337.jpeg"/><Relationship Id="rId38" Type="http://schemas.openxmlformats.org/officeDocument/2006/relationships/image" Target="../media/ddc671e8_7e0e_11ed_a39b_047c1617b143_0d87f57f_a593_11ee_a526_047c1617b14338.jpeg"/><Relationship Id="rId39" Type="http://schemas.openxmlformats.org/officeDocument/2006/relationships/image" Target="../media/ddc671ea_7e0e_11ed_a39b_047c1617b143_0d87f580_a593_11ee_a526_047c1617b14339.jpeg"/><Relationship Id="rId40" Type="http://schemas.openxmlformats.org/officeDocument/2006/relationships/image" Target="../media/ddc671ec_7e0e_11ed_a39b_047c1617b143_0d87f581_a593_11ee_a526_047c1617b14340.jpeg"/><Relationship Id="rId41" Type="http://schemas.openxmlformats.org/officeDocument/2006/relationships/image" Target="../media/ddc671ee_7e0e_11ed_a39b_047c1617b143_0d87f582_a593_11ee_a526_047c1617b14341.jpeg"/><Relationship Id="rId42" Type="http://schemas.openxmlformats.org/officeDocument/2006/relationships/image" Target="../media/ddc671f0_7e0e_11ed_a39b_047c1617b143_0d87f59c_a593_11ee_a526_047c1617b14342.jpeg"/><Relationship Id="rId43" Type="http://schemas.openxmlformats.org/officeDocument/2006/relationships/image" Target="../media/ddc671f2_7e0e_11ed_a39b_047c1617b143_0d87f59d_a593_11ee_a526_047c1617b14343.jpeg"/><Relationship Id="rId44" Type="http://schemas.openxmlformats.org/officeDocument/2006/relationships/image" Target="../media/ddc671f4_7e0e_11ed_a39b_047c1617b143_0d87f59e_a593_11ee_a526_047c1617b14344.jpeg"/><Relationship Id="rId45" Type="http://schemas.openxmlformats.org/officeDocument/2006/relationships/image" Target="../media/ddc671f6_7e0e_11ed_a39b_047c1617b143_0d87f59f_a593_11ee_a526_047c1617b14345.jpeg"/><Relationship Id="rId46" Type="http://schemas.openxmlformats.org/officeDocument/2006/relationships/image" Target="../media/ddc671f8_7e0e_11ed_a39b_047c1617b143_0d87f5a0_a593_11ee_a526_047c1617b14346.jpeg"/><Relationship Id="rId47" Type="http://schemas.openxmlformats.org/officeDocument/2006/relationships/image" Target="../media/ddc671fa_7e0e_11ed_a39b_047c1617b143_0d87f5a1_a593_11ee_a526_047c1617b14347.jpeg"/><Relationship Id="rId48" Type="http://schemas.openxmlformats.org/officeDocument/2006/relationships/image" Target="../media/ddc671fc_7e0e_11ed_a39b_047c1617b143_0d87f5a2_a593_11ee_a526_047c1617b14348.jpeg"/><Relationship Id="rId49" Type="http://schemas.openxmlformats.org/officeDocument/2006/relationships/image" Target="../media/ddc671fe_7e0e_11ed_a39b_047c1617b143_0d87f5a3_a593_11ee_a526_047c1617b14349.jpeg"/><Relationship Id="rId50" Type="http://schemas.openxmlformats.org/officeDocument/2006/relationships/image" Target="../media/ddc67200_7e0e_11ed_a39b_047c1617b143_0d87f5a4_a593_11ee_a526_047c1617b14350.jpeg"/><Relationship Id="rId51" Type="http://schemas.openxmlformats.org/officeDocument/2006/relationships/image" Target="../media/ddc67202_7e0e_11ed_a39b_047c1617b143_0d87f5a5_a593_11ee_a526_047c1617b14351.jpeg"/><Relationship Id="rId52" Type="http://schemas.openxmlformats.org/officeDocument/2006/relationships/image" Target="../media/ddc67204_7e0e_11ed_a39b_047c1617b143_0d87f5a6_a593_11ee_a526_047c1617b14352.jpeg"/><Relationship Id="rId53" Type="http://schemas.openxmlformats.org/officeDocument/2006/relationships/image" Target="../media/ddc67206_7e0e_11ed_a39b_047c1617b143_0d87f5a7_a593_11ee_a526_047c1617b14353.jpeg"/><Relationship Id="rId54" Type="http://schemas.openxmlformats.org/officeDocument/2006/relationships/image" Target="../media/ddc67208_7e0e_11ed_a39b_047c1617b143_0d87f5a8_a593_11ee_a526_047c1617b14354.jpeg"/><Relationship Id="rId55" Type="http://schemas.openxmlformats.org/officeDocument/2006/relationships/image" Target="../media/ddc6720a_7e0e_11ed_a39b_047c1617b143_0d87f5a9_a593_11ee_a526_047c1617b14355.jpeg"/><Relationship Id="rId56" Type="http://schemas.openxmlformats.org/officeDocument/2006/relationships/image" Target="../media/ddc6720c_7e0e_11ed_a39b_047c1617b143_0d87f5aa_a593_11ee_a526_047c1617b14356.jpeg"/><Relationship Id="rId57" Type="http://schemas.openxmlformats.org/officeDocument/2006/relationships/image" Target="../media/ddc6720e_7e0e_11ed_a39b_047c1617b143_0d87f5ab_a593_11ee_a526_047c1617b14357.jpeg"/><Relationship Id="rId58" Type="http://schemas.openxmlformats.org/officeDocument/2006/relationships/image" Target="../media/ddc67210_7e0e_11ed_a39b_047c1617b143_0d87f5ac_a593_11ee_a526_047c1617b14358.jpeg"/><Relationship Id="rId59" Type="http://schemas.openxmlformats.org/officeDocument/2006/relationships/image" Target="../media/ddc67212_7e0e_11ed_a39b_047c1617b143_0d87f5ad_a593_11ee_a526_047c1617b14359.jpeg"/><Relationship Id="rId60" Type="http://schemas.openxmlformats.org/officeDocument/2006/relationships/image" Target="../media/ddc67214_7e0e_11ed_a39b_047c1617b143_0d87f59b_a593_11ee_a526_047c1617b14360.jpeg"/><Relationship Id="rId61" Type="http://schemas.openxmlformats.org/officeDocument/2006/relationships/image" Target="../media/ddc67216_7e0e_11ed_a39b_047c1617b143_0d87f5b7_a593_11ee_a526_047c1617b14361.jpeg"/><Relationship Id="rId62" Type="http://schemas.openxmlformats.org/officeDocument/2006/relationships/image" Target="../media/ddc67218_7e0e_11ed_a39b_047c1617b143_0d87f5b8_a593_11ee_a526_047c1617b14362.jpeg"/><Relationship Id="rId63" Type="http://schemas.openxmlformats.org/officeDocument/2006/relationships/image" Target="../media/ddc6721a_7e0e_11ed_a39b_047c1617b143_0d87f5b9_a593_11ee_a526_047c1617b14363.jpeg"/><Relationship Id="rId64" Type="http://schemas.openxmlformats.org/officeDocument/2006/relationships/image" Target="../media/ddc6721c_7e0e_11ed_a39b_047c1617b143_0d87f5ba_a593_11ee_a526_047c1617b14364.jpeg"/><Relationship Id="rId65" Type="http://schemas.openxmlformats.org/officeDocument/2006/relationships/image" Target="../media/ddc6721e_7e0e_11ed_a39b_047c1617b143_0d87f5b4_a593_11ee_a526_047c1617b14365.jpeg"/><Relationship Id="rId66" Type="http://schemas.openxmlformats.org/officeDocument/2006/relationships/image" Target="../media/ddc67220_7e0e_11ed_a39b_047c1617b143_0d87f5b5_a593_11ee_a526_047c1617b14366.jpeg"/><Relationship Id="rId67" Type="http://schemas.openxmlformats.org/officeDocument/2006/relationships/image" Target="../media/ddc67222_7e0e_11ed_a39b_047c1617b143_0d87f5b6_a593_11ee_a526_047c1617b14367.jpeg"/><Relationship Id="rId68" Type="http://schemas.openxmlformats.org/officeDocument/2006/relationships/image" Target="../media/ddc67224_7e0e_11ed_a39b_047c1617b143_0d87f554_a593_11ee_a526_047c1617b14368.jpeg"/><Relationship Id="rId69" Type="http://schemas.openxmlformats.org/officeDocument/2006/relationships/image" Target="../media/ddc67226_7e0e_11ed_a39b_047c1617b143_0d87f555_a593_11ee_a526_047c1617b14369.jpeg"/><Relationship Id="rId70" Type="http://schemas.openxmlformats.org/officeDocument/2006/relationships/image" Target="../media/ddc67228_7e0e_11ed_a39b_047c1617b143_0d87f556_a593_11ee_a526_047c1617b14370.jpeg"/><Relationship Id="rId71" Type="http://schemas.openxmlformats.org/officeDocument/2006/relationships/image" Target="../media/ddc6722a_7e0e_11ed_a39b_047c1617b143_0d87f557_a593_11ee_a526_047c1617b14371.jpeg"/><Relationship Id="rId72" Type="http://schemas.openxmlformats.org/officeDocument/2006/relationships/image" Target="../media/ddc6722c_7e0e_11ed_a39b_047c1617b143_0d87f55a_a593_11ee_a526_047c1617b14372.jpeg"/><Relationship Id="rId73" Type="http://schemas.openxmlformats.org/officeDocument/2006/relationships/image" Target="../media/ddc6722e_7e0e_11ed_a39b_047c1617b143_0d87f55b_a593_11ee_a526_047c1617b14373.jpeg"/><Relationship Id="rId74" Type="http://schemas.openxmlformats.org/officeDocument/2006/relationships/image" Target="../media/ddc67230_7e0e_11ed_a39b_047c1617b143_0d87f558_a593_11ee_a526_047c1617b14374.jpeg"/><Relationship Id="rId75" Type="http://schemas.openxmlformats.org/officeDocument/2006/relationships/image" Target="../media/ddc67232_7e0e_11ed_a39b_047c1617b143_0d87f563_a593_11ee_a526_047c1617b14375.jpeg"/><Relationship Id="rId76" Type="http://schemas.openxmlformats.org/officeDocument/2006/relationships/image" Target="../media/ddc67234_7e0e_11ed_a39b_047c1617b143_0d87f564_a593_11ee_a526_047c1617b14376.jpeg"/><Relationship Id="rId77" Type="http://schemas.openxmlformats.org/officeDocument/2006/relationships/image" Target="../media/ddc67236_7e0e_11ed_a39b_047c1617b143_0d87f565_a593_11ee_a526_047c1617b14377.jpeg"/><Relationship Id="rId78" Type="http://schemas.openxmlformats.org/officeDocument/2006/relationships/image" Target="../media/ddc67238_7e0e_11ed_a39b_047c1617b143_0d87f566_a593_11ee_a526_047c1617b14378.jpeg"/><Relationship Id="rId79" Type="http://schemas.openxmlformats.org/officeDocument/2006/relationships/image" Target="../media/ddc6723a_7e0e_11ed_a39b_047c1617b143_0d87f569_a593_11ee_a526_047c1617b14379.jpeg"/><Relationship Id="rId80" Type="http://schemas.openxmlformats.org/officeDocument/2006/relationships/image" Target="../media/ddc6723c_7e0e_11ed_a39b_047c1617b143_0d87f56a_a593_11ee_a526_047c1617b14380.jpeg"/><Relationship Id="rId81" Type="http://schemas.openxmlformats.org/officeDocument/2006/relationships/image" Target="../media/ddc6723e_7e0e_11ed_a39b_047c1617b143_0d87f567_a593_11ee_a526_047c1617b14381.jpeg"/><Relationship Id="rId82" Type="http://schemas.openxmlformats.org/officeDocument/2006/relationships/image" Target="../media/ddc67240_7e0e_11ed_a39b_047c1617b143_0d87f559_a593_11ee_a526_047c1617b14382.jpeg"/><Relationship Id="rId83" Type="http://schemas.openxmlformats.org/officeDocument/2006/relationships/image" Target="../media/ddc67242_7e0e_11ed_a39b_047c1617b143_0d87f55d_a593_11ee_a526_047c1617b14383.jpeg"/><Relationship Id="rId84" Type="http://schemas.openxmlformats.org/officeDocument/2006/relationships/image" Target="../media/ddc67244_7e0e_11ed_a39b_047c1617b143_0d87f55c_a593_11ee_a526_047c1617b14384.jpeg"/><Relationship Id="rId85" Type="http://schemas.openxmlformats.org/officeDocument/2006/relationships/image" Target="../media/ddc67246_7e0e_11ed_a39b_047c1617b143_0d87f55e_a593_11ee_a526_047c1617b14385.jpeg"/><Relationship Id="rId86" Type="http://schemas.openxmlformats.org/officeDocument/2006/relationships/image" Target="../media/ddc67248_7e0e_11ed_a39b_047c1617b143_0d87f55f_a593_11ee_a526_047c1617b14386.jpeg"/><Relationship Id="rId87" Type="http://schemas.openxmlformats.org/officeDocument/2006/relationships/image" Target="../media/ddc6724a_7e0e_11ed_a39b_047c1617b143_0d87f560_a593_11ee_a526_047c1617b14387.jpeg"/><Relationship Id="rId88" Type="http://schemas.openxmlformats.org/officeDocument/2006/relationships/image" Target="../media/ddc6724c_7e0e_11ed_a39b_047c1617b143_0d87f561_a593_11ee_a526_047c1617b14388.jpeg"/><Relationship Id="rId89" Type="http://schemas.openxmlformats.org/officeDocument/2006/relationships/image" Target="../media/ddc6724e_7e0e_11ed_a39b_047c1617b143_0d87f553_a593_11ee_a526_047c1617b14389.jpeg"/><Relationship Id="rId90" Type="http://schemas.openxmlformats.org/officeDocument/2006/relationships/image" Target="../media/ddc67250_7e0e_11ed_a39b_047c1617b143_0d87f568_a593_11ee_a526_047c1617b14390.jpeg"/><Relationship Id="rId91" Type="http://schemas.openxmlformats.org/officeDocument/2006/relationships/image" Target="../media/ddc67252_7e0e_11ed_a39b_047c1617b143_0d87f56c_a593_11ee_a526_047c1617b14391.jpeg"/><Relationship Id="rId92" Type="http://schemas.openxmlformats.org/officeDocument/2006/relationships/image" Target="../media/ddc67254_7e0e_11ed_a39b_047c1617b143_0d87f56b_a593_11ee_a526_047c1617b14392.jpeg"/><Relationship Id="rId93" Type="http://schemas.openxmlformats.org/officeDocument/2006/relationships/image" Target="../media/ddc67256_7e0e_11ed_a39b_047c1617b143_0d87f56d_a593_11ee_a526_047c1617b14393.jpeg"/><Relationship Id="rId94" Type="http://schemas.openxmlformats.org/officeDocument/2006/relationships/image" Target="../media/ddc67258_7e0e_11ed_a39b_047c1617b143_0d87f56e_a593_11ee_a526_047c1617b14394.jpeg"/><Relationship Id="rId95" Type="http://schemas.openxmlformats.org/officeDocument/2006/relationships/image" Target="../media/ddc6725a_7e0e_11ed_a39b_047c1617b143_0d87f56f_a593_11ee_a526_047c1617b14395.jpeg"/><Relationship Id="rId96" Type="http://schemas.openxmlformats.org/officeDocument/2006/relationships/image" Target="../media/ddc6725c_7e0e_11ed_a39b_047c1617b143_0d87f570_a593_11ee_a526_047c1617b14396.jpeg"/><Relationship Id="rId97" Type="http://schemas.openxmlformats.org/officeDocument/2006/relationships/image" Target="../media/ddc6725e_7e0e_11ed_a39b_047c1617b143_0d87f562_a593_11ee_a526_047c1617b14397.jpeg"/><Relationship Id="rId98" Type="http://schemas.openxmlformats.org/officeDocument/2006/relationships/image" Target="../media/ddc67260_7e0e_11ed_a39b_047c1617b143_5dcd87bb_5a46_11f0_a775_047c1617b14398.jpeg"/><Relationship Id="rId99" Type="http://schemas.openxmlformats.org/officeDocument/2006/relationships/image" Target="../media/ddc67262_7e0e_11ed_a39b_047c1617b143_5dcd87bc_5a46_11f0_a775_047c1617b14399.jpeg"/><Relationship Id="rId100" Type="http://schemas.openxmlformats.org/officeDocument/2006/relationships/image" Target="../media/ddc67264_7e0e_11ed_a39b_047c1617b143_5dcd87bd_5a46_11f0_a775_047c1617b143100.jpeg"/><Relationship Id="rId101" Type="http://schemas.openxmlformats.org/officeDocument/2006/relationships/image" Target="../media/ddc67266_7e0e_11ed_a39b_047c1617b143_5dcd87c7_5a46_11f0_a775_047c1617b143101.jpeg"/><Relationship Id="rId102" Type="http://schemas.openxmlformats.org/officeDocument/2006/relationships/image" Target="../media/ddc67268_7e0e_11ed_a39b_047c1617b143_5dcd87be_5a46_11f0_a775_047c1617b143102.jpeg"/><Relationship Id="rId103" Type="http://schemas.openxmlformats.org/officeDocument/2006/relationships/image" Target="../media/ddc6726a_7e0e_11ed_a39b_047c1617b143_5dcd87bf_5a46_11f0_a775_047c1617b143103.jpeg"/><Relationship Id="rId104" Type="http://schemas.openxmlformats.org/officeDocument/2006/relationships/image" Target="../media/ddc6726c_7e0e_11ed_a39b_047c1617b143_5dcd87c0_5a46_11f0_a775_047c1617b143104.jpeg"/><Relationship Id="rId105" Type="http://schemas.openxmlformats.org/officeDocument/2006/relationships/image" Target="../media/ddc6726e_7e0e_11ed_a39b_047c1617b143_5dcd87c1_5a46_11f0_a775_047c1617b143105.jpeg"/><Relationship Id="rId106" Type="http://schemas.openxmlformats.org/officeDocument/2006/relationships/image" Target="../media/ddc67270_7e0e_11ed_a39b_047c1617b143_5dcd87c2_5a46_11f0_a775_047c1617b143106.jpeg"/><Relationship Id="rId107" Type="http://schemas.openxmlformats.org/officeDocument/2006/relationships/image" Target="../media/ddc67272_7e0e_11ed_a39b_047c1617b143_5dcd87c3_5a46_11f0_a775_047c1617b143107.jpeg"/><Relationship Id="rId108" Type="http://schemas.openxmlformats.org/officeDocument/2006/relationships/image" Target="../media/ddc67274_7e0e_11ed_a39b_047c1617b143_5dcd87c4_5a46_11f0_a775_047c1617b143108.jpeg"/><Relationship Id="rId109" Type="http://schemas.openxmlformats.org/officeDocument/2006/relationships/image" Target="../media/ddc67276_7e0e_11ed_a39b_047c1617b143_5dcd87c5_5a46_11f0_a775_047c1617b143109.jpeg"/><Relationship Id="rId110" Type="http://schemas.openxmlformats.org/officeDocument/2006/relationships/image" Target="../media/ddc67278_7e0e_11ed_a39b_047c1617b143_5dcd87c6_5a46_11f0_a775_047c1617b143110.jpeg"/><Relationship Id="rId111" Type="http://schemas.openxmlformats.org/officeDocument/2006/relationships/image" Target="../media/ddc6727a_7e0e_11ed_a39b_047c1617b143_5dcd87c8_5a46_11f0_a775_047c1617b143111.jpeg"/><Relationship Id="rId112" Type="http://schemas.openxmlformats.org/officeDocument/2006/relationships/image" Target="../media/ddc6727c_7e0e_11ed_a39b_047c1617b143_5dcd87c9_5a46_11f0_a775_047c1617b143112.jpeg"/><Relationship Id="rId113" Type="http://schemas.openxmlformats.org/officeDocument/2006/relationships/image" Target="../media/ddc6727e_7e0e_11ed_a39b_047c1617b143_5dcd87ca_5a46_11f0_a775_047c1617b143113.jpeg"/><Relationship Id="rId114" Type="http://schemas.openxmlformats.org/officeDocument/2006/relationships/image" Target="../media/ddc67280_7e0e_11ed_a39b_047c1617b143_5dcd87d4_5a46_11f0_a775_047c1617b143114.jpeg"/><Relationship Id="rId115" Type="http://schemas.openxmlformats.org/officeDocument/2006/relationships/image" Target="../media/ddc67282_7e0e_11ed_a39b_047c1617b143_5dcd87cb_5a46_11f0_a775_047c1617b143115.jpeg"/><Relationship Id="rId116" Type="http://schemas.openxmlformats.org/officeDocument/2006/relationships/image" Target="../media/ddc67284_7e0e_11ed_a39b_047c1617b143_5dcd87cc_5a46_11f0_a775_047c1617b143116.jpeg"/><Relationship Id="rId117" Type="http://schemas.openxmlformats.org/officeDocument/2006/relationships/image" Target="../media/ddc67286_7e0e_11ed_a39b_047c1617b143_5dcd87cd_5a46_11f0_a775_047c1617b143117.jpeg"/><Relationship Id="rId118" Type="http://schemas.openxmlformats.org/officeDocument/2006/relationships/image" Target="../media/ddc67288_7e0e_11ed_a39b_047c1617b143_5dcd87ce_5a46_11f0_a775_047c1617b143118.jpeg"/><Relationship Id="rId119" Type="http://schemas.openxmlformats.org/officeDocument/2006/relationships/image" Target="../media/ddc6728a_7e0e_11ed_a39b_047c1617b143_5dcd87cf_5a46_11f0_a775_047c1617b143119.jpeg"/><Relationship Id="rId120" Type="http://schemas.openxmlformats.org/officeDocument/2006/relationships/image" Target="../media/ddc6728c_7e0e_11ed_a39b_047c1617b143_5dcd87d0_5a46_11f0_a775_047c1617b143120.jpeg"/><Relationship Id="rId121" Type="http://schemas.openxmlformats.org/officeDocument/2006/relationships/image" Target="../media/ddc6728e_7e0e_11ed_a39b_047c1617b143_5dcd87d1_5a46_11f0_a775_047c1617b143121.jpeg"/><Relationship Id="rId122" Type="http://schemas.openxmlformats.org/officeDocument/2006/relationships/image" Target="../media/ddc67290_7e0e_11ed_a39b_047c1617b143_5dcd87d2_5a46_11f0_a775_047c1617b143122.jpeg"/><Relationship Id="rId123" Type="http://schemas.openxmlformats.org/officeDocument/2006/relationships/image" Target="../media/ddc67292_7e0e_11ed_a39b_047c1617b143_5dcd87d3_5a46_11f0_a775_047c1617b143123.jpeg"/><Relationship Id="rId124" Type="http://schemas.openxmlformats.org/officeDocument/2006/relationships/image" Target="../media/ddc672ac_7e0e_11ed_a39b_047c1617b143_14190d43_a593_11ee_a526_047c1617b143124.jpeg"/><Relationship Id="rId125" Type="http://schemas.openxmlformats.org/officeDocument/2006/relationships/image" Target="../media/ddc672ae_7e0e_11ed_a39b_047c1617b143_14190d45_a593_11ee_a526_047c1617b143125.jpeg"/><Relationship Id="rId126" Type="http://schemas.openxmlformats.org/officeDocument/2006/relationships/image" Target="../media/ddc672b0_7e0e_11ed_a39b_047c1617b143_14190d41_a593_11ee_a526_047c1617b143126.jpeg"/><Relationship Id="rId127" Type="http://schemas.openxmlformats.org/officeDocument/2006/relationships/image" Target="../media/ddc672b2_7e0e_11ed_a39b_047c1617b143_14190d49_a593_11ee_a526_047c1617b143127.jpeg"/><Relationship Id="rId128" Type="http://schemas.openxmlformats.org/officeDocument/2006/relationships/image" Target="../media/ddc672b4_7e0e_11ed_a39b_047c1617b143_14190d4b_a593_11ee_a526_047c1617b143128.jpeg"/><Relationship Id="rId129" Type="http://schemas.openxmlformats.org/officeDocument/2006/relationships/image" Target="../media/ddc672b6_7e0e_11ed_a39b_047c1617b143_14190d47_a593_11ee_a526_047c1617b143129.jpeg"/><Relationship Id="rId130" Type="http://schemas.openxmlformats.org/officeDocument/2006/relationships/image" Target="../media/ddc672b8_7e0e_11ed_a39b_047c1617b143_14190d51_a593_11ee_a526_047c1617b143130.jpeg"/><Relationship Id="rId131" Type="http://schemas.openxmlformats.org/officeDocument/2006/relationships/image" Target="../media/ddc672ba_7e0e_11ed_a39b_047c1617b143_14190d4f_a593_11ee_a526_047c1617b143131.jpeg"/><Relationship Id="rId132" Type="http://schemas.openxmlformats.org/officeDocument/2006/relationships/image" Target="../media/ddc672bc_7e0e_11ed_a39b_047c1617b143_14190d4d_a593_11ee_a526_047c1617b143132.jpeg"/><Relationship Id="rId133" Type="http://schemas.openxmlformats.org/officeDocument/2006/relationships/image" Target="../media/ddc672be_7e0e_11ed_a39b_047c1617b143_14190d53_a593_11ee_a526_047c1617b143133.jpeg"/><Relationship Id="rId134" Type="http://schemas.openxmlformats.org/officeDocument/2006/relationships/image" Target="../media/ddc672c0_7e0e_11ed_a39b_047c1617b143_14190d55_a593_11ee_a526_047c1617b143134.jpeg"/><Relationship Id="rId135" Type="http://schemas.openxmlformats.org/officeDocument/2006/relationships/image" Target="../media/ddc672c2_7e0e_11ed_a39b_047c1617b143_14190d57_a593_11ee_a526_047c1617b143135.jpeg"/><Relationship Id="rId136" Type="http://schemas.openxmlformats.org/officeDocument/2006/relationships/image" Target="../media/ddc672c4_7e0e_11ed_a39b_047c1617b143_0d87f572_a593_11ee_a526_047c1617b143136.jpeg"/><Relationship Id="rId137" Type="http://schemas.openxmlformats.org/officeDocument/2006/relationships/image" Target="../media/ddc672c6_7e0e_11ed_a39b_047c1617b143_0d87f573_a593_11ee_a526_047c1617b143137.jpeg"/><Relationship Id="rId138" Type="http://schemas.openxmlformats.org/officeDocument/2006/relationships/image" Target="../media/ddc672c8_7e0e_11ed_a39b_047c1617b143_0d87f571_a593_11ee_a526_047c1617b143138.jpeg"/><Relationship Id="rId139" Type="http://schemas.openxmlformats.org/officeDocument/2006/relationships/image" Target="../media/ddc672ca_7e0e_11ed_a39b_047c1617b143_0d87f575_a593_11ee_a526_047c1617b143139.jpeg"/><Relationship Id="rId140" Type="http://schemas.openxmlformats.org/officeDocument/2006/relationships/image" Target="../media/ddc672cc_7e0e_11ed_a39b_047c1617b143_0d87f576_a593_11ee_a526_047c1617b143140.jpeg"/><Relationship Id="rId141" Type="http://schemas.openxmlformats.org/officeDocument/2006/relationships/image" Target="../media/ddc672ce_7e0e_11ed_a39b_047c1617b143_0d87f574_a593_11ee_a526_047c1617b143141.jpeg"/><Relationship Id="rId142" Type="http://schemas.openxmlformats.org/officeDocument/2006/relationships/image" Target="../media/ddc672d0_7e0e_11ed_a39b_047c1617b143_0d87f579_a593_11ee_a526_047c1617b143142.jpeg"/><Relationship Id="rId143" Type="http://schemas.openxmlformats.org/officeDocument/2006/relationships/image" Target="../media/ddc672d2_7e0e_11ed_a39b_047c1617b143_0d87f578_a593_11ee_a526_047c1617b143143.jpeg"/><Relationship Id="rId144" Type="http://schemas.openxmlformats.org/officeDocument/2006/relationships/image" Target="../media/ddc672d4_7e0e_11ed_a39b_047c1617b143_0d87f577_a593_11ee_a526_047c1617b143144.jpeg"/><Relationship Id="rId145" Type="http://schemas.openxmlformats.org/officeDocument/2006/relationships/image" Target="../media/ddc672d6_7e0e_11ed_a39b_047c1617b143_0d87f57a_a593_11ee_a526_047c1617b143145.jpeg"/><Relationship Id="rId146" Type="http://schemas.openxmlformats.org/officeDocument/2006/relationships/image" Target="../media/ddc672d8_7e0e_11ed_a39b_047c1617b143_0d87f57b_a593_11ee_a526_047c1617b143146.jpeg"/><Relationship Id="rId147" Type="http://schemas.openxmlformats.org/officeDocument/2006/relationships/image" Target="../media/ddc672da_7e0e_11ed_a39b_047c1617b143_0d87f57c_a593_11ee_a526_047c1617b143147.jpeg"/><Relationship Id="rId148" Type="http://schemas.openxmlformats.org/officeDocument/2006/relationships/image" Target="../media/ddc672dc_7e0e_11ed_a39b_047c1617b143_0d87f5ae_a593_11ee_a526_047c1617b143148.jpeg"/><Relationship Id="rId149" Type="http://schemas.openxmlformats.org/officeDocument/2006/relationships/image" Target="../media/ddc672de_7e0e_11ed_a39b_047c1617b143_0d87f5af_a593_11ee_a526_047c1617b143149.jpeg"/><Relationship Id="rId150" Type="http://schemas.openxmlformats.org/officeDocument/2006/relationships/image" Target="../media/ddc672e0_7e0e_11ed_a39b_047c1617b143_0d87f5b0_a593_11ee_a526_047c1617b143150.jpeg"/><Relationship Id="rId151" Type="http://schemas.openxmlformats.org/officeDocument/2006/relationships/image" Target="../media/ddc672e2_7e0e_11ed_a39b_047c1617b143_0d87f5b1_a593_11ee_a526_047c1617b143151.jpeg"/><Relationship Id="rId152" Type="http://schemas.openxmlformats.org/officeDocument/2006/relationships/image" Target="../media/ddc672e4_7e0e_11ed_a39b_047c1617b143_0d87f5b2_a593_11ee_a526_047c1617b143152.jpeg"/><Relationship Id="rId153" Type="http://schemas.openxmlformats.org/officeDocument/2006/relationships/image" Target="../media/ddc672e6_7e0e_11ed_a39b_047c1617b143_0d87f5b3_a593_11ee_a526_047c1617b143153.jpeg"/><Relationship Id="rId154" Type="http://schemas.openxmlformats.org/officeDocument/2006/relationships/image" Target="../media/ddc672e8_7e0e_11ed_a39b_047c1617b143_0d87f5bc_a593_11ee_a526_047c1617b143154.jpeg"/><Relationship Id="rId155" Type="http://schemas.openxmlformats.org/officeDocument/2006/relationships/image" Target="../media/ddc672ea_7e0e_11ed_a39b_047c1617b143_0d87f5be_a593_11ee_a526_047c1617b143155.jpeg"/><Relationship Id="rId156" Type="http://schemas.openxmlformats.org/officeDocument/2006/relationships/image" Target="../media/ddc672ec_7e0e_11ed_a39b_047c1617b143_0d87f5c1_a593_11ee_a526_047c1617b143156.jpeg"/><Relationship Id="rId157" Type="http://schemas.openxmlformats.org/officeDocument/2006/relationships/image" Target="../media/ddc672ee_7e0e_11ed_a39b_047c1617b143_0d87f5bf_a593_11ee_a526_047c1617b143157.jpeg"/><Relationship Id="rId158" Type="http://schemas.openxmlformats.org/officeDocument/2006/relationships/image" Target="../media/ddc672f0_7e0e_11ed_a39b_047c1617b143_0d87f5c3_a593_11ee_a526_047c1617b143158.jpeg"/><Relationship Id="rId159" Type="http://schemas.openxmlformats.org/officeDocument/2006/relationships/image" Target="../media/ddc672f2_7e0e_11ed_a39b_047c1617b143_0d87f5c2_a593_11ee_a526_047c1617b143159.jpeg"/><Relationship Id="rId160" Type="http://schemas.openxmlformats.org/officeDocument/2006/relationships/image" Target="../media/ddc672f4_7e0e_11ed_a39b_047c1617b143_0d87f5bb_a593_11ee_a526_047c1617b143160.jpeg"/><Relationship Id="rId161" Type="http://schemas.openxmlformats.org/officeDocument/2006/relationships/image" Target="../media/ddc672f6_7e0e_11ed_a39b_047c1617b143_0d87f5bd_a593_11ee_a526_047c1617b143161.jpeg"/><Relationship Id="rId162" Type="http://schemas.openxmlformats.org/officeDocument/2006/relationships/image" Target="../media/ddc672f8_7e0e_11ed_a39b_047c1617b143_0d87f5c0_a593_11ee_a526_047c1617b143162.jpeg"/><Relationship Id="rId163" Type="http://schemas.openxmlformats.org/officeDocument/2006/relationships/image" Target="../media/ddc672fa_7e0e_11ed_a39b_047c1617b143_14190d3a_a593_11ee_a526_047c1617b143163.jpeg"/><Relationship Id="rId164" Type="http://schemas.openxmlformats.org/officeDocument/2006/relationships/image" Target="../media/ddc672fc_7e0e_11ed_a39b_047c1617b143_14190d3b_a593_11ee_a526_047c1617b143164.jpeg"/><Relationship Id="rId165" Type="http://schemas.openxmlformats.org/officeDocument/2006/relationships/image" Target="../media/ddc672fe_7e0e_11ed_a39b_047c1617b143_14190d3d_a593_11ee_a526_047c1617b143165.jpeg"/><Relationship Id="rId166" Type="http://schemas.openxmlformats.org/officeDocument/2006/relationships/image" Target="../media/ddc67300_7e0e_11ed_a39b_047c1617b143_14190d3c_a593_11ee_a526_047c1617b143166.jpeg"/><Relationship Id="rId167" Type="http://schemas.openxmlformats.org/officeDocument/2006/relationships/image" Target="../media/ddc67302_7e0e_11ed_a39b_047c1617b143_14190d3e_a593_11ee_a526_047c1617b143167.jpeg"/><Relationship Id="rId168" Type="http://schemas.openxmlformats.org/officeDocument/2006/relationships/image" Target="../media/ddc67304_7e0e_11ed_a39b_047c1617b143_14190d5b_a593_11ee_a526_047c1617b143168.jpeg"/><Relationship Id="rId169" Type="http://schemas.openxmlformats.org/officeDocument/2006/relationships/image" Target="../media/ddc67306_7e0e_11ed_a39b_047c1617b143_14190d39_a593_11ee_a526_047c1617b143169.jpeg"/><Relationship Id="rId170" Type="http://schemas.openxmlformats.org/officeDocument/2006/relationships/image" Target="../media/ddc67308_7e0e_11ed_a39b_047c1617b143_0d87f634_a593_11ee_a526_047c1617b143170.jpeg"/><Relationship Id="rId171" Type="http://schemas.openxmlformats.org/officeDocument/2006/relationships/image" Target="../media/ddc6730a_7e0e_11ed_a39b_047c1617b143_0d87f636_a593_11ee_a526_047c1617b143171.jpeg"/><Relationship Id="rId172" Type="http://schemas.openxmlformats.org/officeDocument/2006/relationships/image" Target="../media/ddc6730c_7e0e_11ed_a39b_047c1617b143_0d87f638_a593_11ee_a526_047c1617b143172.jpeg"/><Relationship Id="rId173" Type="http://schemas.openxmlformats.org/officeDocument/2006/relationships/image" Target="../media/ddc6730e_7e0e_11ed_a39b_047c1617b143_0d87f63a_a593_11ee_a526_047c1617b143173.jpeg"/><Relationship Id="rId174" Type="http://schemas.openxmlformats.org/officeDocument/2006/relationships/image" Target="../media/ddc67310_7e0e_11ed_a39b_047c1617b143_0d87f63c_a593_11ee_a526_047c1617b143174.jpeg"/><Relationship Id="rId175" Type="http://schemas.openxmlformats.org/officeDocument/2006/relationships/image" Target="../media/ddc67312_7e0e_11ed_a39b_047c1617b143_0d87f63e_a593_11ee_a526_047c1617b143175.jpeg"/><Relationship Id="rId176" Type="http://schemas.openxmlformats.org/officeDocument/2006/relationships/image" Target="../media/ddc67314_7e0e_11ed_a39b_047c1617b143_0d87f640_a593_11ee_a526_047c1617b143176.jpeg"/><Relationship Id="rId177" Type="http://schemas.openxmlformats.org/officeDocument/2006/relationships/image" Target="../media/ddc67316_7e0e_11ed_a39b_047c1617b143_0d87f642_a593_11ee_a526_047c1617b143177.jpeg"/><Relationship Id="rId178" Type="http://schemas.openxmlformats.org/officeDocument/2006/relationships/image" Target="../media/ddc67318_7e0e_11ed_a39b_047c1617b143_0d87f62e_a593_11ee_a526_047c1617b143178.jpeg"/><Relationship Id="rId179" Type="http://schemas.openxmlformats.org/officeDocument/2006/relationships/image" Target="../media/ddc6731a_7e0e_11ed_a39b_047c1617b143_0d87f630_a593_11ee_a526_047c1617b143179.jpeg"/><Relationship Id="rId180" Type="http://schemas.openxmlformats.org/officeDocument/2006/relationships/image" Target="../media/ddc6731c_7e0e_11ed_a39b_047c1617b143_0d87f632_a593_11ee_a526_047c1617b143180.jpeg"/><Relationship Id="rId181" Type="http://schemas.openxmlformats.org/officeDocument/2006/relationships/image" Target="../media/ddc6731e_7e0e_11ed_a39b_047c1617b143_0d87f635_a593_11ee_a526_047c1617b143181.jpeg"/><Relationship Id="rId182" Type="http://schemas.openxmlformats.org/officeDocument/2006/relationships/image" Target="../media/ddc67320_7e0e_11ed_a39b_047c1617b143_0d87f637_a593_11ee_a526_047c1617b143182.jpeg"/><Relationship Id="rId183" Type="http://schemas.openxmlformats.org/officeDocument/2006/relationships/image" Target="../media/ddc67322_7e0e_11ed_a39b_047c1617b143_0d87f639_a593_11ee_a526_047c1617b143183.jpeg"/><Relationship Id="rId184" Type="http://schemas.openxmlformats.org/officeDocument/2006/relationships/image" Target="../media/ddc67324_7e0e_11ed_a39b_047c1617b143_0d87f63b_a593_11ee_a526_047c1617b143184.jpeg"/><Relationship Id="rId185" Type="http://schemas.openxmlformats.org/officeDocument/2006/relationships/image" Target="../media/ddc67326_7e0e_11ed_a39b_047c1617b143_0d87f63d_a593_11ee_a526_047c1617b143185.jpeg"/><Relationship Id="rId186" Type="http://schemas.openxmlformats.org/officeDocument/2006/relationships/image" Target="../media/ddc67328_7e0e_11ed_a39b_047c1617b143_0d87f63f_a593_11ee_a526_047c1617b143186.jpeg"/><Relationship Id="rId187" Type="http://schemas.openxmlformats.org/officeDocument/2006/relationships/image" Target="../media/ddc6732a_7e0e_11ed_a39b_047c1617b143_0d87f641_a593_11ee_a526_047c1617b143187.jpeg"/><Relationship Id="rId188" Type="http://schemas.openxmlformats.org/officeDocument/2006/relationships/image" Target="../media/ddc6732c_7e0e_11ed_a39b_047c1617b143_0d87f643_a593_11ee_a526_047c1617b143188.jpeg"/><Relationship Id="rId189" Type="http://schemas.openxmlformats.org/officeDocument/2006/relationships/image" Target="../media/ddc6732e_7e0e_11ed_a39b_047c1617b143_0d87f62f_a593_11ee_a526_047c1617b143189.jpeg"/><Relationship Id="rId190" Type="http://schemas.openxmlformats.org/officeDocument/2006/relationships/image" Target="../media/ddc67330_7e0e_11ed_a39b_047c1617b143_0d87f631_a593_11ee_a526_047c1617b143190.jpeg"/><Relationship Id="rId191" Type="http://schemas.openxmlformats.org/officeDocument/2006/relationships/image" Target="../media/ddc67332_7e0e_11ed_a39b_047c1617b143_0d87f633_a593_11ee_a526_047c1617b143191.jpeg"/><Relationship Id="rId192" Type="http://schemas.openxmlformats.org/officeDocument/2006/relationships/image" Target="../media/ddc67334_7e0e_11ed_a39b_047c1617b143_14190d1c_a593_11ee_a526_047c1617b143192.jpeg"/><Relationship Id="rId193" Type="http://schemas.openxmlformats.org/officeDocument/2006/relationships/image" Target="../media/ddc67336_7e0e_11ed_a39b_047c1617b143_14190d1e_a593_11ee_a526_047c1617b143193.jpeg"/><Relationship Id="rId194" Type="http://schemas.openxmlformats.org/officeDocument/2006/relationships/image" Target="../media/ddc67338_7e0e_11ed_a39b_047c1617b143_14190d20_a593_11ee_a526_047c1617b143194.jpeg"/><Relationship Id="rId195" Type="http://schemas.openxmlformats.org/officeDocument/2006/relationships/image" Target="../media/ddc6733a_7e0e_11ed_a39b_047c1617b143_14190d1a_a593_11ee_a526_047c1617b143195.jpeg"/><Relationship Id="rId196" Type="http://schemas.openxmlformats.org/officeDocument/2006/relationships/image" Target="../media/ddc6733c_7e0e_11ed_a39b_047c1617b143_14190d1b_a593_11ee_a526_047c1617b143196.jpeg"/><Relationship Id="rId197" Type="http://schemas.openxmlformats.org/officeDocument/2006/relationships/image" Target="../media/ddc6733e_7e0e_11ed_a39b_047c1617b143_14190d1d_a593_11ee_a526_047c1617b143197.jpeg"/><Relationship Id="rId198" Type="http://schemas.openxmlformats.org/officeDocument/2006/relationships/image" Target="../media/ddc67340_7e0e_11ed_a39b_047c1617b143_14190d1f_a593_11ee_a526_047c1617b143198.jpeg"/><Relationship Id="rId199" Type="http://schemas.openxmlformats.org/officeDocument/2006/relationships/image" Target="../media/ddc67342_7e0e_11ed_a39b_047c1617b143_14190d21_a593_11ee_a526_047c1617b143199.jpeg"/><Relationship Id="rId200" Type="http://schemas.openxmlformats.org/officeDocument/2006/relationships/image" Target="../media/ddc67344_7e0e_11ed_a39b_047c1617b143_0d87f644_a593_11ee_a526_047c1617b143200.jpeg"/><Relationship Id="rId201" Type="http://schemas.openxmlformats.org/officeDocument/2006/relationships/image" Target="../media/ddc67346_7e0e_11ed_a39b_047c1617b143_14190d08_a593_11ee_a526_047c1617b143201.jpeg"/><Relationship Id="rId202" Type="http://schemas.openxmlformats.org/officeDocument/2006/relationships/image" Target="../media/ddc67348_7e0e_11ed_a39b_047c1617b143_14190d09_a593_11ee_a526_047c1617b143202.jpeg"/><Relationship Id="rId203" Type="http://schemas.openxmlformats.org/officeDocument/2006/relationships/image" Target="../media/ddc6734a_7e0e_11ed_a39b_047c1617b143_14190d0b_a593_11ee_a526_047c1617b143203.jpeg"/><Relationship Id="rId204" Type="http://schemas.openxmlformats.org/officeDocument/2006/relationships/image" Target="../media/ddc6734c_7e0e_11ed_a39b_047c1617b143_14190d0e_a593_11ee_a526_047c1617b143204.jpeg"/><Relationship Id="rId205" Type="http://schemas.openxmlformats.org/officeDocument/2006/relationships/image" Target="../media/ddc6734e_7e0e_11ed_a39b_047c1617b143_14190d0f_a593_11ee_a526_047c1617b143205.jpeg"/><Relationship Id="rId206" Type="http://schemas.openxmlformats.org/officeDocument/2006/relationships/image" Target="../media/ddc67350_7e0e_11ed_a39b_047c1617b143_14190d0c_a593_11ee_a526_047c1617b143206.jpeg"/><Relationship Id="rId207" Type="http://schemas.openxmlformats.org/officeDocument/2006/relationships/image" Target="../media/ddc67352_7e0e_11ed_a39b_047c1617b143_14190d10_a593_11ee_a526_047c1617b143207.jpeg"/><Relationship Id="rId208" Type="http://schemas.openxmlformats.org/officeDocument/2006/relationships/image" Target="../media/ddc67354_7e0e_11ed_a39b_047c1617b143_14190d12_a593_11ee_a526_047c1617b143208.jpeg"/><Relationship Id="rId209" Type="http://schemas.openxmlformats.org/officeDocument/2006/relationships/image" Target="../media/ddc67356_7e0e_11ed_a39b_047c1617b143_14190d13_a593_11ee_a526_047c1617b143209.jpeg"/><Relationship Id="rId210" Type="http://schemas.openxmlformats.org/officeDocument/2006/relationships/image" Target="../media/ddc67358_7e0e_11ed_a39b_047c1617b143_14190d15_a593_11ee_a526_047c1617b143210.jpeg"/><Relationship Id="rId211" Type="http://schemas.openxmlformats.org/officeDocument/2006/relationships/image" Target="../media/ddc6735a_7e0e_11ed_a39b_047c1617b143_14190d18_a593_11ee_a526_047c1617b143211.jpeg"/><Relationship Id="rId212" Type="http://schemas.openxmlformats.org/officeDocument/2006/relationships/image" Target="../media/ddc6735c_7e0e_11ed_a39b_047c1617b143_14190d19_a593_11ee_a526_047c1617b143212.jpeg"/><Relationship Id="rId213" Type="http://schemas.openxmlformats.org/officeDocument/2006/relationships/image" Target="../media/ddc6735e_7e0e_11ed_a39b_047c1617b143_14190d16_a593_11ee_a526_047c1617b143213.jpeg"/><Relationship Id="rId214" Type="http://schemas.openxmlformats.org/officeDocument/2006/relationships/image" Target="../media/ddc67360_7e0e_11ed_a39b_047c1617b143_14190d0d_a593_11ee_a526_047c1617b143214.jpeg"/><Relationship Id="rId215" Type="http://schemas.openxmlformats.org/officeDocument/2006/relationships/image" Target="../media/ddc67362_7e0e_11ed_a39b_047c1617b143_14190d17_a593_11ee_a526_047c1617b143215.jpeg"/><Relationship Id="rId216" Type="http://schemas.openxmlformats.org/officeDocument/2006/relationships/image" Target="../media/ddc67364_7e0e_11ed_a39b_047c1617b143_14190d07_a593_11ee_a526_047c1617b143216.jpeg"/><Relationship Id="rId217" Type="http://schemas.openxmlformats.org/officeDocument/2006/relationships/image" Target="../media/ddc67366_7e0e_11ed_a39b_047c1617b143_14190d0a_a593_11ee_a526_047c1617b143217.jpeg"/><Relationship Id="rId218" Type="http://schemas.openxmlformats.org/officeDocument/2006/relationships/image" Target="../media/ddc67368_7e0e_11ed_a39b_047c1617b143_14190d59_a593_11ee_a526_047c1617b143218.jpeg"/><Relationship Id="rId219" Type="http://schemas.openxmlformats.org/officeDocument/2006/relationships/image" Target="../media/ddc6736a_7e0e_11ed_a39b_047c1617b143_14190d11_a593_11ee_a526_047c1617b143219.jpeg"/><Relationship Id="rId220" Type="http://schemas.openxmlformats.org/officeDocument/2006/relationships/image" Target="../media/ddc6736c_7e0e_11ed_a39b_047c1617b143_14190d14_a593_11ee_a526_047c1617b143220.jpeg"/><Relationship Id="rId221" Type="http://schemas.openxmlformats.org/officeDocument/2006/relationships/image" Target="../media/ddc6736e_7e0e_11ed_a39b_047c1617b143_0d87f54f_a593_11ee_a526_047c1617b143221.jpeg"/><Relationship Id="rId222" Type="http://schemas.openxmlformats.org/officeDocument/2006/relationships/image" Target="../media/ddc67370_7e0e_11ed_a39b_047c1617b143_0d87f550_a593_11ee_a526_047c1617b143222.jpeg"/><Relationship Id="rId223" Type="http://schemas.openxmlformats.org/officeDocument/2006/relationships/image" Target="../media/ddc67372_7e0e_11ed_a39b_047c1617b143_0d87f5da_a593_11ee_a526_047c1617b143223.jpeg"/><Relationship Id="rId224" Type="http://schemas.openxmlformats.org/officeDocument/2006/relationships/image" Target="../media/ddc67374_7e0e_11ed_a39b_047c1617b143_14190d22_a593_11ee_a526_047c1617b143224.jpeg"/><Relationship Id="rId225" Type="http://schemas.openxmlformats.org/officeDocument/2006/relationships/image" Target="../media/ddc67376_7e0e_11ed_a39b_047c1617b143_14190d23_a593_11ee_a526_047c1617b143225.jpeg"/><Relationship Id="rId226" Type="http://schemas.openxmlformats.org/officeDocument/2006/relationships/image" Target="../media/ddc67378_7e0e_11ed_a39b_047c1617b143_14190d25_a593_11ee_a526_047c1617b143226.jpeg"/><Relationship Id="rId227" Type="http://schemas.openxmlformats.org/officeDocument/2006/relationships/image" Target="../media/ddc6737a_7e0e_11ed_a39b_047c1617b143_14190d24_a593_11ee_a526_047c1617b143227.jpeg"/><Relationship Id="rId228" Type="http://schemas.openxmlformats.org/officeDocument/2006/relationships/image" Target="../media/ddc6737c_7e0e_11ed_a39b_047c1617b143_14190d27_a593_11ee_a526_047c1617b143228.jpeg"/><Relationship Id="rId229" Type="http://schemas.openxmlformats.org/officeDocument/2006/relationships/image" Target="../media/ddc6737e_7e0e_11ed_a39b_047c1617b143_14190d26_a593_11ee_a526_047c1617b143229.jpeg"/><Relationship Id="rId230" Type="http://schemas.openxmlformats.org/officeDocument/2006/relationships/image" Target="../media/ddc67380_7e0e_11ed_a39b_047c1617b143_0d87f5e8_a593_11ee_a526_047c1617b143230.jpeg"/><Relationship Id="rId231" Type="http://schemas.openxmlformats.org/officeDocument/2006/relationships/image" Target="../media/ddc67382_7e0e_11ed_a39b_047c1617b143_0d87f5ea_a593_11ee_a526_047c1617b143231.jpeg"/><Relationship Id="rId232" Type="http://schemas.openxmlformats.org/officeDocument/2006/relationships/image" Target="../media/ddc67384_7e0e_11ed_a39b_047c1617b143_0d87f5ee_a593_11ee_a526_047c1617b143232.jpeg"/><Relationship Id="rId233" Type="http://schemas.openxmlformats.org/officeDocument/2006/relationships/image" Target="../media/ddc67386_7e0e_11ed_a39b_047c1617b143_0d87f5f6_a593_11ee_a526_047c1617b143233.jpeg"/><Relationship Id="rId234" Type="http://schemas.openxmlformats.org/officeDocument/2006/relationships/image" Target="../media/ddc67388_7e0e_11ed_a39b_047c1617b143_0d87f5fc_a593_11ee_a526_047c1617b143234.jpeg"/><Relationship Id="rId235" Type="http://schemas.openxmlformats.org/officeDocument/2006/relationships/image" Target="../media/ddc6738a_7e0e_11ed_a39b_047c1617b143_0d87f607_a593_11ee_a526_047c1617b143235.jpeg"/><Relationship Id="rId236" Type="http://schemas.openxmlformats.org/officeDocument/2006/relationships/image" Target="../media/ddc6738c_7e0e_11ed_a39b_047c1617b143_0d87f60d_a593_11ee_a526_047c1617b143236.jpeg"/><Relationship Id="rId237" Type="http://schemas.openxmlformats.org/officeDocument/2006/relationships/image" Target="../media/ddc6738e_7e0e_11ed_a39b_047c1617b143_0d87f612_a593_11ee_a526_047c1617b143237.jpeg"/><Relationship Id="rId238" Type="http://schemas.openxmlformats.org/officeDocument/2006/relationships/image" Target="../media/ddc67390_7e0e_11ed_a39b_047c1617b143_0d87f5e0_a593_11ee_a526_047c1617b143238.jpeg"/><Relationship Id="rId239" Type="http://schemas.openxmlformats.org/officeDocument/2006/relationships/image" Target="../media/ddc67392_7e0e_11ed_a39b_047c1617b143_0d87f5e5_a593_11ee_a526_047c1617b143239.jpeg"/><Relationship Id="rId240" Type="http://schemas.openxmlformats.org/officeDocument/2006/relationships/image" Target="../media/ddc67394_7e0e_11ed_a39b_047c1617b143_0d87f5e6_a593_11ee_a526_047c1617b143240.jpeg"/><Relationship Id="rId241" Type="http://schemas.openxmlformats.org/officeDocument/2006/relationships/image" Target="../media/ddc67396_7e0e_11ed_a39b_047c1617b143_0d87f5e9_a593_11ee_a526_047c1617b143241.jpeg"/><Relationship Id="rId242" Type="http://schemas.openxmlformats.org/officeDocument/2006/relationships/image" Target="../media/ddc67398_7e0e_11ed_a39b_047c1617b143_0d87f5eb_a593_11ee_a526_047c1617b143242.jpeg"/><Relationship Id="rId243" Type="http://schemas.openxmlformats.org/officeDocument/2006/relationships/image" Target="../media/ddc6739a_7e0e_11ed_a39b_047c1617b143_0d87f5ec_a593_11ee_a526_047c1617b143243.jpeg"/><Relationship Id="rId244" Type="http://schemas.openxmlformats.org/officeDocument/2006/relationships/image" Target="../media/ddc6739c_7e0e_11ed_a39b_047c1617b143_0d87f5ed_a593_11ee_a526_047c1617b143244.jpeg"/><Relationship Id="rId245" Type="http://schemas.openxmlformats.org/officeDocument/2006/relationships/image" Target="../media/ddc6739e_7e0e_11ed_a39b_047c1617b143_0d87f5ef_a593_11ee_a526_047c1617b143245.jpeg"/><Relationship Id="rId246" Type="http://schemas.openxmlformats.org/officeDocument/2006/relationships/image" Target="../media/ddc673a0_7e0e_11ed_a39b_047c1617b143_0d87f5f0_a593_11ee_a526_047c1617b143246.jpeg"/><Relationship Id="rId247" Type="http://schemas.openxmlformats.org/officeDocument/2006/relationships/image" Target="../media/ddc673a2_7e0e_11ed_a39b_047c1617b143_0d87f5f1_a593_11ee_a526_047c1617b143247.jpeg"/><Relationship Id="rId248" Type="http://schemas.openxmlformats.org/officeDocument/2006/relationships/image" Target="../media/ddc673a4_7e0e_11ed_a39b_047c1617b143_0d87f5f2_a593_11ee_a526_047c1617b143248.jpeg"/><Relationship Id="rId249" Type="http://schemas.openxmlformats.org/officeDocument/2006/relationships/image" Target="../media/ddc673a6_7e0e_11ed_a39b_047c1617b143_0d87f5f3_a593_11ee_a526_047c1617b143249.jpeg"/><Relationship Id="rId250" Type="http://schemas.openxmlformats.org/officeDocument/2006/relationships/image" Target="../media/ddc673a8_7e0e_11ed_a39b_047c1617b143_0d87f5f4_a593_11ee_a526_047c1617b143250.jpeg"/><Relationship Id="rId251" Type="http://schemas.openxmlformats.org/officeDocument/2006/relationships/image" Target="../media/ddc673aa_7e0e_11ed_a39b_047c1617b143_0d87f5f5_a593_11ee_a526_047c1617b143251.jpeg"/><Relationship Id="rId252" Type="http://schemas.openxmlformats.org/officeDocument/2006/relationships/image" Target="../media/ddc673ac_7e0e_11ed_a39b_047c1617b143_0d87f5f7_a593_11ee_a526_047c1617b143252.jpeg"/><Relationship Id="rId253" Type="http://schemas.openxmlformats.org/officeDocument/2006/relationships/image" Target="../media/ddc673ae_7e0e_11ed_a39b_047c1617b143_0d87f5f8_a593_11ee_a526_047c1617b143253.jpeg"/><Relationship Id="rId254" Type="http://schemas.openxmlformats.org/officeDocument/2006/relationships/image" Target="../media/ddc673b0_7e0e_11ed_a39b_047c1617b143_0d87f5f9_a593_11ee_a526_047c1617b143254.jpeg"/><Relationship Id="rId255" Type="http://schemas.openxmlformats.org/officeDocument/2006/relationships/image" Target="../media/ddc673b2_7e0e_11ed_a39b_047c1617b143_0d87f5fa_a593_11ee_a526_047c1617b143255.jpeg"/><Relationship Id="rId256" Type="http://schemas.openxmlformats.org/officeDocument/2006/relationships/image" Target="../media/ddc673b4_7e0e_11ed_a39b_047c1617b143_0d87f5fb_a593_11ee_a526_047c1617b143256.jpeg"/><Relationship Id="rId257" Type="http://schemas.openxmlformats.org/officeDocument/2006/relationships/image" Target="../media/ddc673b6_7e0e_11ed_a39b_047c1617b143_0d87f5fd_a593_11ee_a526_047c1617b143257.jpeg"/><Relationship Id="rId258" Type="http://schemas.openxmlformats.org/officeDocument/2006/relationships/image" Target="../media/ddc673b8_7e0e_11ed_a39b_047c1617b143_0d87f5fe_a593_11ee_a526_047c1617b143258.jpeg"/><Relationship Id="rId259" Type="http://schemas.openxmlformats.org/officeDocument/2006/relationships/image" Target="../media/ddc673ba_7e0e_11ed_a39b_047c1617b143_0d87f5ff_a593_11ee_a526_047c1617b143259.jpeg"/><Relationship Id="rId260" Type="http://schemas.openxmlformats.org/officeDocument/2006/relationships/image" Target="../media/ddc673bc_7e0e_11ed_a39b_047c1617b143_0d87f600_a593_11ee_a526_047c1617b143260.jpeg"/><Relationship Id="rId261" Type="http://schemas.openxmlformats.org/officeDocument/2006/relationships/image" Target="../media/ddc673be_7e0e_11ed_a39b_047c1617b143_0d87f601_a593_11ee_a526_047c1617b143261.jpeg"/><Relationship Id="rId262" Type="http://schemas.openxmlformats.org/officeDocument/2006/relationships/image" Target="../media/ddc673c0_7e0e_11ed_a39b_047c1617b143_0d87f602_a593_11ee_a526_047c1617b143262.jpeg"/><Relationship Id="rId263" Type="http://schemas.openxmlformats.org/officeDocument/2006/relationships/image" Target="../media/ddc673c2_7e0e_11ed_a39b_047c1617b143_0d87f603_a593_11ee_a526_047c1617b143263.jpeg"/><Relationship Id="rId264" Type="http://schemas.openxmlformats.org/officeDocument/2006/relationships/image" Target="../media/ddc673c4_7e0e_11ed_a39b_047c1617b143_0d87f604_a593_11ee_a526_047c1617b143264.jpeg"/><Relationship Id="rId265" Type="http://schemas.openxmlformats.org/officeDocument/2006/relationships/image" Target="../media/ddc673c6_7e0e_11ed_a39b_047c1617b143_0d87f605_a593_11ee_a526_047c1617b143265.jpeg"/><Relationship Id="rId266" Type="http://schemas.openxmlformats.org/officeDocument/2006/relationships/image" Target="../media/ddc673c8_7e0e_11ed_a39b_047c1617b143_0d87f606_a593_11ee_a526_047c1617b143266.jpeg"/><Relationship Id="rId267" Type="http://schemas.openxmlformats.org/officeDocument/2006/relationships/image" Target="../media/ddc673ca_7e0e_11ed_a39b_047c1617b143_0d87f608_a593_11ee_a526_047c1617b143267.jpeg"/><Relationship Id="rId268" Type="http://schemas.openxmlformats.org/officeDocument/2006/relationships/image" Target="../media/ddc673cc_7e0e_11ed_a39b_047c1617b143_0d87f609_a593_11ee_a526_047c1617b143268.jpeg"/><Relationship Id="rId269" Type="http://schemas.openxmlformats.org/officeDocument/2006/relationships/image" Target="../media/ddc673ce_7e0e_11ed_a39b_047c1617b143_0d87f60a_a593_11ee_a526_047c1617b143269.jpeg"/><Relationship Id="rId270" Type="http://schemas.openxmlformats.org/officeDocument/2006/relationships/image" Target="../media/ddc673d0_7e0e_11ed_a39b_047c1617b143_0d87f60b_a593_11ee_a526_047c1617b143270.jpeg"/><Relationship Id="rId271" Type="http://schemas.openxmlformats.org/officeDocument/2006/relationships/image" Target="../media/ddc673d2_7e0e_11ed_a39b_047c1617b143_0d87f60c_a593_11ee_a526_047c1617b143271.jpeg"/><Relationship Id="rId272" Type="http://schemas.openxmlformats.org/officeDocument/2006/relationships/image" Target="../media/ddc673d4_7e0e_11ed_a39b_047c1617b143_0d87f60e_a593_11ee_a526_047c1617b143272.jpeg"/><Relationship Id="rId273" Type="http://schemas.openxmlformats.org/officeDocument/2006/relationships/image" Target="../media/ddc673d6_7e0e_11ed_a39b_047c1617b143_0d87f60f_a593_11ee_a526_047c1617b143273.jpeg"/><Relationship Id="rId274" Type="http://schemas.openxmlformats.org/officeDocument/2006/relationships/image" Target="../media/ddc673d8_7e0e_11ed_a39b_047c1617b143_0d87f610_a593_11ee_a526_047c1617b143274.jpeg"/><Relationship Id="rId275" Type="http://schemas.openxmlformats.org/officeDocument/2006/relationships/image" Target="../media/ddc673da_7e0e_11ed_a39b_047c1617b143_0d87f611_a593_11ee_a526_047c1617b143275.jpeg"/><Relationship Id="rId276" Type="http://schemas.openxmlformats.org/officeDocument/2006/relationships/image" Target="../media/ddc673dc_7e0e_11ed_a39b_047c1617b143_0d87f613_a593_11ee_a526_047c1617b143276.jpeg"/><Relationship Id="rId277" Type="http://schemas.openxmlformats.org/officeDocument/2006/relationships/image" Target="../media/ddc673de_7e0e_11ed_a39b_047c1617b143_0d87f614_a593_11ee_a526_047c1617b143277.jpeg"/><Relationship Id="rId278" Type="http://schemas.openxmlformats.org/officeDocument/2006/relationships/image" Target="../media/ddc673e0_7e0e_11ed_a39b_047c1617b143_0d87f615_a593_11ee_a526_047c1617b143278.jpeg"/><Relationship Id="rId279" Type="http://schemas.openxmlformats.org/officeDocument/2006/relationships/image" Target="../media/ddc673e2_7e0e_11ed_a39b_047c1617b143_0d87f616_a593_11ee_a526_047c1617b143279.jpeg"/><Relationship Id="rId280" Type="http://schemas.openxmlformats.org/officeDocument/2006/relationships/image" Target="../media/ddc673e4_7e0e_11ed_a39b_047c1617b143_0d87f617_a593_11ee_a526_047c1617b143280.jpeg"/><Relationship Id="rId281" Type="http://schemas.openxmlformats.org/officeDocument/2006/relationships/image" Target="../media/ddc673e6_7e0e_11ed_a39b_047c1617b143_0d87f5e1_a593_11ee_a526_047c1617b143281.jpeg"/><Relationship Id="rId282" Type="http://schemas.openxmlformats.org/officeDocument/2006/relationships/image" Target="../media/ddc673e8_7e0e_11ed_a39b_047c1617b143_0d87f5e2_a593_11ee_a526_047c1617b143282.jpeg"/><Relationship Id="rId283" Type="http://schemas.openxmlformats.org/officeDocument/2006/relationships/image" Target="../media/ddc673ea_7e0e_11ed_a39b_047c1617b143_0d87f5e3_a593_11ee_a526_047c1617b143283.jpeg"/><Relationship Id="rId284" Type="http://schemas.openxmlformats.org/officeDocument/2006/relationships/image" Target="../media/ddc673ec_7e0e_11ed_a39b_047c1617b143_0d87f5e4_a593_11ee_a526_047c1617b143284.jpeg"/><Relationship Id="rId285" Type="http://schemas.openxmlformats.org/officeDocument/2006/relationships/image" Target="../media/ddc673ee_7e0e_11ed_a39b_047c1617b143_0d87f5e7_a593_11ee_a526_047c1617b143285.jpeg"/><Relationship Id="rId286" Type="http://schemas.openxmlformats.org/officeDocument/2006/relationships/image" Target="../media/ddc673f0_7e0e_11ed_a39b_047c1617b143_0d87f618_a593_11ee_a526_047c1617b143286.jpeg"/><Relationship Id="rId287" Type="http://schemas.openxmlformats.org/officeDocument/2006/relationships/image" Target="../media/ddc673f2_7e0e_11ed_a39b_047c1617b143_0d87f619_a593_11ee_a526_047c1617b143287.jpeg"/><Relationship Id="rId288" Type="http://schemas.openxmlformats.org/officeDocument/2006/relationships/image" Target="../media/ddc673f4_7e0e_11ed_a39b_047c1617b143_0d87f61a_a593_11ee_a526_047c1617b143288.jpeg"/><Relationship Id="rId289" Type="http://schemas.openxmlformats.org/officeDocument/2006/relationships/image" Target="../media/ddc673f6_7e0e_11ed_a39b_047c1617b143_0d87f61b_a593_11ee_a526_047c1617b143289.jpeg"/><Relationship Id="rId290" Type="http://schemas.openxmlformats.org/officeDocument/2006/relationships/image" Target="../media/ddc673f8_7e0e_11ed_a39b_047c1617b143_0d87f61c_a593_11ee_a526_047c1617b143290.jpeg"/><Relationship Id="rId291" Type="http://schemas.openxmlformats.org/officeDocument/2006/relationships/image" Target="../media/e433b42a_7e0e_11ed_a39b_047c1617b143_0d87f61d_a593_11ee_a526_047c1617b143291.jpeg"/><Relationship Id="rId292" Type="http://schemas.openxmlformats.org/officeDocument/2006/relationships/image" Target="../media/e433b42c_7e0e_11ed_a39b_047c1617b143_0d87f61f_a593_11ee_a526_047c1617b143292.jpeg"/><Relationship Id="rId293" Type="http://schemas.openxmlformats.org/officeDocument/2006/relationships/image" Target="../media/e433b42e_7e0e_11ed_a39b_047c1617b143_0d87f620_a593_11ee_a526_047c1617b143293.jpeg"/><Relationship Id="rId294" Type="http://schemas.openxmlformats.org/officeDocument/2006/relationships/image" Target="../media/e433b430_7e0e_11ed_a39b_047c1617b143_0d87f61e_a593_11ee_a526_047c1617b143294.jpeg"/><Relationship Id="rId295" Type="http://schemas.openxmlformats.org/officeDocument/2006/relationships/image" Target="../media/e433b432_7e0e_11ed_a39b_047c1617b143_0d87f621_a593_11ee_a526_047c1617b143295.jpeg"/><Relationship Id="rId296" Type="http://schemas.openxmlformats.org/officeDocument/2006/relationships/image" Target="../media/e433b434_7e0e_11ed_a39b_047c1617b143_0d87f622_a593_11ee_a526_047c1617b143296.jpeg"/><Relationship Id="rId297" Type="http://schemas.openxmlformats.org/officeDocument/2006/relationships/image" Target="../media/e433b436_7e0e_11ed_a39b_047c1617b143_0d87f623_a593_11ee_a526_047c1617b143297.jpeg"/><Relationship Id="rId298" Type="http://schemas.openxmlformats.org/officeDocument/2006/relationships/image" Target="../media/e433b438_7e0e_11ed_a39b_047c1617b143_0d87f624_a593_11ee_a526_047c1617b143298.jpeg"/><Relationship Id="rId299" Type="http://schemas.openxmlformats.org/officeDocument/2006/relationships/image" Target="../media/e433b43a_7e0e_11ed_a39b_047c1617b143_0d87f626_a593_11ee_a526_047c1617b143299.jpeg"/><Relationship Id="rId300" Type="http://schemas.openxmlformats.org/officeDocument/2006/relationships/image" Target="../media/e433b43c_7e0e_11ed_a39b_047c1617b143_0d87f627_a593_11ee_a526_047c1617b143300.jpeg"/><Relationship Id="rId301" Type="http://schemas.openxmlformats.org/officeDocument/2006/relationships/image" Target="../media/e433b43e_7e0e_11ed_a39b_047c1617b143_0d87f625_a593_11ee_a526_047c1617b143301.jpeg"/><Relationship Id="rId302" Type="http://schemas.openxmlformats.org/officeDocument/2006/relationships/image" Target="../media/e433b440_7e0e_11ed_a39b_047c1617b143_0d87f628_a593_11ee_a526_047c1617b143302.jpeg"/><Relationship Id="rId303" Type="http://schemas.openxmlformats.org/officeDocument/2006/relationships/image" Target="../media/e433b442_7e0e_11ed_a39b_047c1617b143_0d87f629_a593_11ee_a526_047c1617b143303.jpeg"/><Relationship Id="rId304" Type="http://schemas.openxmlformats.org/officeDocument/2006/relationships/image" Target="../media/e433b444_7e0e_11ed_a39b_047c1617b143_0d87f62b_a593_11ee_a526_047c1617b143304.jpeg"/><Relationship Id="rId305" Type="http://schemas.openxmlformats.org/officeDocument/2006/relationships/image" Target="../media/e433b446_7e0e_11ed_a39b_047c1617b143_0d87f62a_a593_11ee_a526_047c1617b143305.jpeg"/><Relationship Id="rId306" Type="http://schemas.openxmlformats.org/officeDocument/2006/relationships/image" Target="../media/e433b448_7e0e_11ed_a39b_047c1617b143_0d87f62d_a593_11ee_a526_047c1617b143306.jpeg"/><Relationship Id="rId307" Type="http://schemas.openxmlformats.org/officeDocument/2006/relationships/image" Target="../media/e433b44a_7e0e_11ed_a39b_047c1617b143_0d87f62c_a593_11ee_a526_047c1617b143307.jpeg"/><Relationship Id="rId308" Type="http://schemas.openxmlformats.org/officeDocument/2006/relationships/image" Target="../media/e433b44c_7e0e_11ed_a39b_047c1617b143_0d87f5db_a593_11ee_a526_047c1617b143308.jpeg"/><Relationship Id="rId309" Type="http://schemas.openxmlformats.org/officeDocument/2006/relationships/image" Target="../media/e433b44e_7e0e_11ed_a39b_047c1617b143_0d87f4fe_a593_11ee_a526_047c1617b143309.jpeg"/><Relationship Id="rId310" Type="http://schemas.openxmlformats.org/officeDocument/2006/relationships/image" Target="../media/e433b450_7e0e_11ed_a39b_047c1617b143_0d87f4ff_a593_11ee_a526_047c1617b143310.jpeg"/><Relationship Id="rId311" Type="http://schemas.openxmlformats.org/officeDocument/2006/relationships/image" Target="../media/e433b452_7e0e_11ed_a39b_047c1617b143_0d87f500_a593_11ee_a526_047c1617b143311.jpeg"/><Relationship Id="rId312" Type="http://schemas.openxmlformats.org/officeDocument/2006/relationships/image" Target="../media/e433b454_7e0e_11ed_a39b_047c1617b143_0d87f501_a593_11ee_a526_047c1617b143312.jpeg"/><Relationship Id="rId313" Type="http://schemas.openxmlformats.org/officeDocument/2006/relationships/image" Target="../media/e433b456_7e0e_11ed_a39b_047c1617b143_0d87f502_a593_11ee_a526_047c1617b143313.jpeg"/><Relationship Id="rId314" Type="http://schemas.openxmlformats.org/officeDocument/2006/relationships/image" Target="../media/e433b458_7e0e_11ed_a39b_047c1617b143_0d87f503_a593_11ee_a526_047c1617b143314.jpeg"/><Relationship Id="rId315" Type="http://schemas.openxmlformats.org/officeDocument/2006/relationships/image" Target="../media/e433b45a_7e0e_11ed_a39b_047c1617b143_0d87f504_a593_11ee_a526_047c1617b143315.jpeg"/><Relationship Id="rId316" Type="http://schemas.openxmlformats.org/officeDocument/2006/relationships/image" Target="../media/e433b45c_7e0e_11ed_a39b_047c1617b143_0d87f505_a593_11ee_a526_047c1617b143316.jpeg"/><Relationship Id="rId317" Type="http://schemas.openxmlformats.org/officeDocument/2006/relationships/image" Target="../media/e433b45e_7e0e_11ed_a39b_047c1617b143_0d87f506_a593_11ee_a526_047c1617b143317.jpeg"/><Relationship Id="rId318" Type="http://schemas.openxmlformats.org/officeDocument/2006/relationships/image" Target="../media/e433b460_7e0e_11ed_a39b_047c1617b143_695c4619_11fe_11ef_a5b8_047c1617b143318.png"/><Relationship Id="rId319" Type="http://schemas.openxmlformats.org/officeDocument/2006/relationships/image" Target="../media/e433b462_7e0e_11ed_a39b_047c1617b143_695c461a_11fe_11ef_a5b8_047c1617b143319.png"/><Relationship Id="rId320" Type="http://schemas.openxmlformats.org/officeDocument/2006/relationships/image" Target="../media/e433b464_7e0e_11ed_a39b_047c1617b143_695c461b_11fe_11ef_a5b8_047c1617b143320.png"/><Relationship Id="rId321" Type="http://schemas.openxmlformats.org/officeDocument/2006/relationships/image" Target="../media/e433b466_7e0e_11ed_a39b_047c1617b143_695c461c_11fe_11ef_a5b8_047c1617b143321.png"/><Relationship Id="rId322" Type="http://schemas.openxmlformats.org/officeDocument/2006/relationships/image" Target="../media/e433b468_7e0e_11ed_a39b_047c1617b143_695c461f_11fe_11ef_a5b8_047c1617b143322.png"/><Relationship Id="rId323" Type="http://schemas.openxmlformats.org/officeDocument/2006/relationships/image" Target="../media/e433b46a_7e0e_11ed_a39b_047c1617b143_695c4620_11fe_11ef_a5b8_047c1617b143323.png"/><Relationship Id="rId324" Type="http://schemas.openxmlformats.org/officeDocument/2006/relationships/image" Target="../media/e433b46c_7e0e_11ed_a39b_047c1617b143_695c4621_11fe_11ef_a5b8_047c1617b143324.png"/><Relationship Id="rId325" Type="http://schemas.openxmlformats.org/officeDocument/2006/relationships/image" Target="../media/e433b46e_7e0e_11ed_a39b_047c1617b143_695c4622_11fe_11ef_a5b8_047c1617b143325.png"/><Relationship Id="rId326" Type="http://schemas.openxmlformats.org/officeDocument/2006/relationships/image" Target="../media/e433b470_7e0e_11ed_a39b_047c1617b143_695c4623_11fe_11ef_a5b8_047c1617b143326.png"/><Relationship Id="rId327" Type="http://schemas.openxmlformats.org/officeDocument/2006/relationships/image" Target="../media/e433b472_7e0e_11ed_a39b_047c1617b143_695c4624_11fe_11ef_a5b8_047c1617b143327.png"/><Relationship Id="rId328" Type="http://schemas.openxmlformats.org/officeDocument/2006/relationships/image" Target="../media/e433b474_7e0e_11ed_a39b_047c1617b143_695c4625_11fe_11ef_a5b8_047c1617b143328.jpeg"/><Relationship Id="rId329" Type="http://schemas.openxmlformats.org/officeDocument/2006/relationships/image" Target="../media/e433b476_7e0e_11ed_a39b_047c1617b143_695c4626_11fe_11ef_a5b8_047c1617b143329.jpeg"/><Relationship Id="rId330" Type="http://schemas.openxmlformats.org/officeDocument/2006/relationships/image" Target="../media/e433b478_7e0e_11ed_a39b_047c1617b143_695c4627_11fe_11ef_a5b8_047c1617b143330.jpeg"/><Relationship Id="rId331" Type="http://schemas.openxmlformats.org/officeDocument/2006/relationships/image" Target="../media/e433b47a_7e0e_11ed_a39b_047c1617b143_14190d35_a593_11ee_a526_047c1617b143331.jpeg"/><Relationship Id="rId332" Type="http://schemas.openxmlformats.org/officeDocument/2006/relationships/image" Target="../media/e433b47c_7e0e_11ed_a39b_047c1617b143_14190d36_a593_11ee_a526_047c1617b143332.jpeg"/><Relationship Id="rId333" Type="http://schemas.openxmlformats.org/officeDocument/2006/relationships/image" Target="../media/e433b47e_7e0e_11ed_a39b_047c1617b143_14190d37_a593_11ee_a526_047c1617b143333.jpeg"/><Relationship Id="rId334" Type="http://schemas.openxmlformats.org/officeDocument/2006/relationships/image" Target="../media/e433b480_7e0e_11ed_a39b_047c1617b143_14190d38_a593_11ee_a526_047c1617b143334.jpeg"/><Relationship Id="rId335" Type="http://schemas.openxmlformats.org/officeDocument/2006/relationships/image" Target="../media/e433b482_7e0e_11ed_a39b_047c1617b143_0d87f5d6_a593_11ee_a526_047c1617b143335.jpeg"/><Relationship Id="rId336" Type="http://schemas.openxmlformats.org/officeDocument/2006/relationships/image" Target="../media/e433b484_7e0e_11ed_a39b_047c1617b143_0d87f5d7_a593_11ee_a526_047c1617b143336.jpeg"/><Relationship Id="rId337" Type="http://schemas.openxmlformats.org/officeDocument/2006/relationships/image" Target="../media/e433b486_7e0e_11ed_a39b_047c1617b143_0d87f5d8_a593_11ee_a526_047c1617b143337.jpeg"/><Relationship Id="rId338" Type="http://schemas.openxmlformats.org/officeDocument/2006/relationships/image" Target="../media/e433b488_7e0e_11ed_a39b_047c1617b143_14190d28_a593_11ee_a526_047c1617b143338.jpeg"/><Relationship Id="rId339" Type="http://schemas.openxmlformats.org/officeDocument/2006/relationships/image" Target="../media/e433b48a_7e0e_11ed_a39b_047c1617b143_14190d2a_a593_11ee_a526_047c1617b143339.jpeg"/><Relationship Id="rId340" Type="http://schemas.openxmlformats.org/officeDocument/2006/relationships/image" Target="../media/e433b48c_7e0e_11ed_a39b_047c1617b143_14190d2c_a593_11ee_a526_047c1617b143340.jpeg"/><Relationship Id="rId341" Type="http://schemas.openxmlformats.org/officeDocument/2006/relationships/image" Target="../media/e433b48e_7e0e_11ed_a39b_047c1617b143_14190d29_a593_11ee_a526_047c1617b143341.jpeg"/><Relationship Id="rId342" Type="http://schemas.openxmlformats.org/officeDocument/2006/relationships/image" Target="../media/e433b490_7e0e_11ed_a39b_047c1617b143_14190d2b_a593_11ee_a526_047c1617b143342.jpeg"/><Relationship Id="rId343" Type="http://schemas.openxmlformats.org/officeDocument/2006/relationships/image" Target="../media/e433b492_7e0e_11ed_a39b_047c1617b143_14190d2d_a593_11ee_a526_047c1617b143343.jpeg"/><Relationship Id="rId344" Type="http://schemas.openxmlformats.org/officeDocument/2006/relationships/image" Target="../media/e433b494_7e0e_11ed_a39b_047c1617b143_14190d2e_a593_11ee_a526_047c1617b143344.jpeg"/><Relationship Id="rId345" Type="http://schemas.openxmlformats.org/officeDocument/2006/relationships/image" Target="../media/e433b496_7e0e_11ed_a39b_047c1617b143_0d87f524_a593_11ee_a526_047c1617b143345.jpeg"/><Relationship Id="rId346" Type="http://schemas.openxmlformats.org/officeDocument/2006/relationships/image" Target="../media/e433b498_7e0e_11ed_a39b_047c1617b143_0d87f525_a593_11ee_a526_047c1617b143346.jpeg"/><Relationship Id="rId347" Type="http://schemas.openxmlformats.org/officeDocument/2006/relationships/image" Target="../media/e433b49a_7e0e_11ed_a39b_047c1617b143_0d87f526_a593_11ee_a526_047c1617b143347.jpeg"/><Relationship Id="rId348" Type="http://schemas.openxmlformats.org/officeDocument/2006/relationships/image" Target="../media/e433b49c_7e0e_11ed_a39b_047c1617b143_0d87f527_a593_11ee_a526_047c1617b143348.jpeg"/><Relationship Id="rId349" Type="http://schemas.openxmlformats.org/officeDocument/2006/relationships/image" Target="../media/e433b49e_7e0e_11ed_a39b_047c1617b143_0d87f528_a593_11ee_a526_047c1617b143349.jpeg"/><Relationship Id="rId350" Type="http://schemas.openxmlformats.org/officeDocument/2006/relationships/image" Target="../media/e433b4a0_7e0e_11ed_a39b_047c1617b143_0d87f529_a593_11ee_a526_047c1617b143350.jpeg"/><Relationship Id="rId351" Type="http://schemas.openxmlformats.org/officeDocument/2006/relationships/image" Target="../media/e433b4a2_7e0e_11ed_a39b_047c1617b143_0d87f52a_a593_11ee_a526_047c1617b143351.jpeg"/><Relationship Id="rId352" Type="http://schemas.openxmlformats.org/officeDocument/2006/relationships/image" Target="../media/e433b4a4_7e0e_11ed_a39b_047c1617b143_0d87f5dc_a593_11ee_a526_047c1617b143352.jpeg"/><Relationship Id="rId353" Type="http://schemas.openxmlformats.org/officeDocument/2006/relationships/image" Target="../media/e433b4a6_7e0e_11ed_a39b_047c1617b143_0d87f5dd_a593_11ee_a526_047c1617b143353.jpeg"/><Relationship Id="rId354" Type="http://schemas.openxmlformats.org/officeDocument/2006/relationships/image" Target="../media/e433b4a8_7e0e_11ed_a39b_047c1617b143_0d87f5de_a593_11ee_a526_047c1617b143354.jpeg"/><Relationship Id="rId355" Type="http://schemas.openxmlformats.org/officeDocument/2006/relationships/image" Target="../media/e433b4aa_7e0e_11ed_a39b_047c1617b143_0d87f5df_a593_11ee_a526_047c1617b143355.jpeg"/><Relationship Id="rId356" Type="http://schemas.openxmlformats.org/officeDocument/2006/relationships/image" Target="../media/e433b4ac_7e0e_11ed_a39b_047c1617b143_0d87f545_a593_11ee_a526_047c1617b143356.jpeg"/><Relationship Id="rId357" Type="http://schemas.openxmlformats.org/officeDocument/2006/relationships/image" Target="../media/e433b4ae_7e0e_11ed_a39b_047c1617b143_0d87f548_a593_11ee_a526_047c1617b143357.jpeg"/><Relationship Id="rId358" Type="http://schemas.openxmlformats.org/officeDocument/2006/relationships/image" Target="../media/e433b4b0_7e0e_11ed_a39b_047c1617b143_0d87f549_a593_11ee_a526_047c1617b143358.jpeg"/><Relationship Id="rId359" Type="http://schemas.openxmlformats.org/officeDocument/2006/relationships/image" Target="../media/e433b4b2_7e0e_11ed_a39b_047c1617b143_0d87f54a_a593_11ee_a526_047c1617b143359.jpeg"/><Relationship Id="rId360" Type="http://schemas.openxmlformats.org/officeDocument/2006/relationships/image" Target="../media/e433b4b4_7e0e_11ed_a39b_047c1617b143_0d87f54b_a593_11ee_a526_047c1617b143360.jpeg"/><Relationship Id="rId361" Type="http://schemas.openxmlformats.org/officeDocument/2006/relationships/image" Target="../media/e433b4b6_7e0e_11ed_a39b_047c1617b143_0d87f54c_a593_11ee_a526_047c1617b143361.jpeg"/><Relationship Id="rId362" Type="http://schemas.openxmlformats.org/officeDocument/2006/relationships/image" Target="../media/e433b4b8_7e0e_11ed_a39b_047c1617b143_0d87f54d_a593_11ee_a526_047c1617b143362.jpeg"/><Relationship Id="rId363" Type="http://schemas.openxmlformats.org/officeDocument/2006/relationships/image" Target="../media/e433b4ba_7e0e_11ed_a39b_047c1617b143_0d87f54e_a593_11ee_a526_047c1617b143363.jpeg"/><Relationship Id="rId364" Type="http://schemas.openxmlformats.org/officeDocument/2006/relationships/image" Target="../media/e433b4bc_7e0e_11ed_a39b_047c1617b143_695c461e_11fe_11ef_a5b8_047c1617b143364.jpeg"/><Relationship Id="rId365" Type="http://schemas.openxmlformats.org/officeDocument/2006/relationships/image" Target="../media/e433b4be_7e0e_11ed_a39b_047c1617b143_0d87f546_a593_11ee_a526_047c1617b143365.jpeg"/><Relationship Id="rId366" Type="http://schemas.openxmlformats.org/officeDocument/2006/relationships/image" Target="../media/e433b4c0_7e0e_11ed_a39b_047c1617b143_14190d3f_a593_11ee_a526_047c1617b143366.jpeg"/><Relationship Id="rId367" Type="http://schemas.openxmlformats.org/officeDocument/2006/relationships/image" Target="../media/e433b4c2_7e0e_11ed_a39b_047c1617b143_0d87f547_a593_11ee_a526_047c1617b143367.jpeg"/><Relationship Id="rId368" Type="http://schemas.openxmlformats.org/officeDocument/2006/relationships/image" Target="../media/e433b4c4_7e0e_11ed_a39b_047c1617b143_0d87f513_a593_11ee_a526_047c1617b143368.jpeg"/><Relationship Id="rId369" Type="http://schemas.openxmlformats.org/officeDocument/2006/relationships/image" Target="../media/e433b4c6_7e0e_11ed_a39b_047c1617b143_0d87f515_a593_11ee_a526_047c1617b143369.jpeg"/><Relationship Id="rId370" Type="http://schemas.openxmlformats.org/officeDocument/2006/relationships/image" Target="../media/e433b4c8_7e0e_11ed_a39b_047c1617b143_0d87f517_a593_11ee_a526_047c1617b143370.jpeg"/><Relationship Id="rId371" Type="http://schemas.openxmlformats.org/officeDocument/2006/relationships/image" Target="../media/e433b4ca_7e0e_11ed_a39b_047c1617b143_0d87f519_a593_11ee_a526_047c1617b143371.jpeg"/><Relationship Id="rId372" Type="http://schemas.openxmlformats.org/officeDocument/2006/relationships/image" Target="../media/e433b4cc_7e0e_11ed_a39b_047c1617b143_0d87f51a_a593_11ee_a526_047c1617b143372.jpeg"/><Relationship Id="rId373" Type="http://schemas.openxmlformats.org/officeDocument/2006/relationships/image" Target="../media/e433b4ce_7e0e_11ed_a39b_047c1617b143_0d87f51b_a593_11ee_a526_047c1617b143373.jpeg"/><Relationship Id="rId374" Type="http://schemas.openxmlformats.org/officeDocument/2006/relationships/image" Target="../media/e433b4d0_7e0e_11ed_a39b_047c1617b143_0d87f51c_a593_11ee_a526_047c1617b143374.jpeg"/><Relationship Id="rId375" Type="http://schemas.openxmlformats.org/officeDocument/2006/relationships/image" Target="../media/e433b4d2_7e0e_11ed_a39b_047c1617b143_0d87f51d_a593_11ee_a526_047c1617b143375.jpeg"/><Relationship Id="rId376" Type="http://schemas.openxmlformats.org/officeDocument/2006/relationships/image" Target="../media/e433b4d4_7e0e_11ed_a39b_047c1617b143_0d87f510_a593_11ee_a526_047c1617b143376.jpeg"/><Relationship Id="rId377" Type="http://schemas.openxmlformats.org/officeDocument/2006/relationships/image" Target="../media/e433b4d6_7e0e_11ed_a39b_047c1617b143_0d87f511_a593_11ee_a526_047c1617b143377.jpeg"/><Relationship Id="rId378" Type="http://schemas.openxmlformats.org/officeDocument/2006/relationships/image" Target="../media/e433b4d8_7e0e_11ed_a39b_047c1617b143_0d87f512_a593_11ee_a526_047c1617b143378.jpeg"/><Relationship Id="rId379" Type="http://schemas.openxmlformats.org/officeDocument/2006/relationships/image" Target="../media/e433b4da_7e0e_11ed_a39b_047c1617b143_0d87f514_a593_11ee_a526_047c1617b143379.jpeg"/><Relationship Id="rId380" Type="http://schemas.openxmlformats.org/officeDocument/2006/relationships/image" Target="../media/e433b4dc_7e0e_11ed_a39b_047c1617b143_0d87f516_a593_11ee_a526_047c1617b143380.jpeg"/><Relationship Id="rId381" Type="http://schemas.openxmlformats.org/officeDocument/2006/relationships/image" Target="../media/e433b4de_7e0e_11ed_a39b_047c1617b143_0d87f518_a593_11ee_a526_047c1617b143381.jpeg"/><Relationship Id="rId382" Type="http://schemas.openxmlformats.org/officeDocument/2006/relationships/image" Target="../media/e433b4e0_7e0e_11ed_a39b_047c1617b143_5136e7ad_bf32_11ee_a548_047c1617b143382.jpeg"/><Relationship Id="rId383" Type="http://schemas.openxmlformats.org/officeDocument/2006/relationships/image" Target="../media/e433b4e2_7e0e_11ed_a39b_047c1617b143_5136e7ae_bf32_11ee_a548_047c1617b143383.jpeg"/><Relationship Id="rId384" Type="http://schemas.openxmlformats.org/officeDocument/2006/relationships/image" Target="../media/e433b4e4_7e0e_11ed_a39b_047c1617b143_5136e7af_bf32_11ee_a548_047c1617b143384.jpeg"/><Relationship Id="rId385" Type="http://schemas.openxmlformats.org/officeDocument/2006/relationships/image" Target="../media/e433b4e6_7e0e_11ed_a39b_047c1617b143_5136e7b0_bf32_11ee_a548_047c1617b143385.jpeg"/><Relationship Id="rId386" Type="http://schemas.openxmlformats.org/officeDocument/2006/relationships/image" Target="../media/e433b4e8_7e0e_11ed_a39b_047c1617b143_5136e7b1_bf32_11ee_a548_047c1617b143386.jpeg"/><Relationship Id="rId387" Type="http://schemas.openxmlformats.org/officeDocument/2006/relationships/image" Target="../media/e433b4ea_7e0e_11ed_a39b_047c1617b143_0d87f5cf_a593_11ee_a526_047c1617b143387.jpeg"/><Relationship Id="rId388" Type="http://schemas.openxmlformats.org/officeDocument/2006/relationships/image" Target="../media/e433b4ec_7e0e_11ed_a39b_047c1617b143_0d87f5d0_a593_11ee_a526_047c1617b143388.jpeg"/><Relationship Id="rId389" Type="http://schemas.openxmlformats.org/officeDocument/2006/relationships/image" Target="../media/e433b4ee_7e0e_11ed_a39b_047c1617b143_0d87f5d1_a593_11ee_a526_047c1617b143389.jpeg"/><Relationship Id="rId390" Type="http://schemas.openxmlformats.org/officeDocument/2006/relationships/image" Target="../media/e433b4f0_7e0e_11ed_a39b_047c1617b143_0d87f5d2_a593_11ee_a526_047c1617b143390.jpeg"/><Relationship Id="rId391" Type="http://schemas.openxmlformats.org/officeDocument/2006/relationships/image" Target="../media/e433b4f2_7e0e_11ed_a39b_047c1617b143_0d87f5d3_a593_11ee_a526_047c1617b143391.jpeg"/><Relationship Id="rId392" Type="http://schemas.openxmlformats.org/officeDocument/2006/relationships/image" Target="../media/e433b4f4_7e0e_11ed_a39b_047c1617b143_0d87f5d4_a593_11ee_a526_047c1617b143392.jpeg"/><Relationship Id="rId393" Type="http://schemas.openxmlformats.org/officeDocument/2006/relationships/image" Target="../media/e433b4f6_7e0e_11ed_a39b_047c1617b143_0d87f5d5_a593_11ee_a526_047c1617b143393.jpeg"/><Relationship Id="rId394" Type="http://schemas.openxmlformats.org/officeDocument/2006/relationships/image" Target="../media/e433b4f8_7e0e_11ed_a39b_047c1617b143_0d87f53d_a593_11ee_a526_047c1617b143394.jpeg"/><Relationship Id="rId395" Type="http://schemas.openxmlformats.org/officeDocument/2006/relationships/image" Target="../media/e433b4fa_7e0e_11ed_a39b_047c1617b143_0d87f53e_a593_11ee_a526_047c1617b143395.jpeg"/><Relationship Id="rId396" Type="http://schemas.openxmlformats.org/officeDocument/2006/relationships/image" Target="../media/e433b4fc_7e0e_11ed_a39b_047c1617b143_0d87f53f_a593_11ee_a526_047c1617b143396.jpeg"/><Relationship Id="rId397" Type="http://schemas.openxmlformats.org/officeDocument/2006/relationships/image" Target="../media/e433b4fe_7e0e_11ed_a39b_047c1617b143_0d87f540_a593_11ee_a526_047c1617b143397.jpeg"/><Relationship Id="rId398" Type="http://schemas.openxmlformats.org/officeDocument/2006/relationships/image" Target="../media/e433b500_7e0e_11ed_a39b_047c1617b143_0d87f541_a593_11ee_a526_047c1617b143398.jpeg"/><Relationship Id="rId399" Type="http://schemas.openxmlformats.org/officeDocument/2006/relationships/image" Target="../media/e433b502_7e0e_11ed_a39b_047c1617b143_0d87f542_a593_11ee_a526_047c1617b143399.jpeg"/><Relationship Id="rId400" Type="http://schemas.openxmlformats.org/officeDocument/2006/relationships/image" Target="../media/e433b504_7e0e_11ed_a39b_047c1617b143_0d87f543_a593_11ee_a526_047c1617b143400.jpeg"/><Relationship Id="rId401" Type="http://schemas.openxmlformats.org/officeDocument/2006/relationships/image" Target="../media/e433b506_7e0e_11ed_a39b_047c1617b143_0d87f544_a593_11ee_a526_047c1617b143401.jpeg"/><Relationship Id="rId402" Type="http://schemas.openxmlformats.org/officeDocument/2006/relationships/image" Target="../media/e433b508_7e0e_11ed_a39b_047c1617b143_0d87f4f4_a593_11ee_a526_047c1617b143402.jpeg"/><Relationship Id="rId403" Type="http://schemas.openxmlformats.org/officeDocument/2006/relationships/image" Target="../media/e433b50a_7e0e_11ed_a39b_047c1617b143_0d87f4f5_a593_11ee_a526_047c1617b143403.jpeg"/><Relationship Id="rId404" Type="http://schemas.openxmlformats.org/officeDocument/2006/relationships/image" Target="../media/e433b50c_7e0e_11ed_a39b_047c1617b143_0d87f4f6_a593_11ee_a526_047c1617b143404.jpeg"/><Relationship Id="rId405" Type="http://schemas.openxmlformats.org/officeDocument/2006/relationships/image" Target="../media/e433b50e_7e0e_11ed_a39b_047c1617b143_0d87f4f7_a593_11ee_a526_047c1617b143405.jpeg"/><Relationship Id="rId406" Type="http://schemas.openxmlformats.org/officeDocument/2006/relationships/image" Target="../media/e433b510_7e0e_11ed_a39b_047c1617b143_0d87f4f8_a593_11ee_a526_047c1617b143406.jpeg"/><Relationship Id="rId407" Type="http://schemas.openxmlformats.org/officeDocument/2006/relationships/image" Target="../media/e433b512_7e0e_11ed_a39b_047c1617b143_0d87f4f1_a593_11ee_a526_047c1617b143407.jpeg"/><Relationship Id="rId408" Type="http://schemas.openxmlformats.org/officeDocument/2006/relationships/image" Target="../media/e433b514_7e0e_11ed_a39b_047c1617b143_0d87f4f2_a593_11ee_a526_047c1617b143408.jpeg"/><Relationship Id="rId409" Type="http://schemas.openxmlformats.org/officeDocument/2006/relationships/image" Target="../media/e433b516_7e0e_11ed_a39b_047c1617b143_0d87f4f3_a593_11ee_a526_047c1617b143409.jpeg"/><Relationship Id="rId410" Type="http://schemas.openxmlformats.org/officeDocument/2006/relationships/image" Target="../media/e433b518_7e0e_11ed_a39b_047c1617b143_14190d30_a593_11ee_a526_047c1617b143410.jpeg"/><Relationship Id="rId411" Type="http://schemas.openxmlformats.org/officeDocument/2006/relationships/image" Target="../media/e433b51a_7e0e_11ed_a39b_047c1617b143_14190d31_a593_11ee_a526_047c1617b143411.jpeg"/><Relationship Id="rId412" Type="http://schemas.openxmlformats.org/officeDocument/2006/relationships/image" Target="../media/e433b51c_7e0e_11ed_a39b_047c1617b143_14190d32_a593_11ee_a526_047c1617b143412.jpeg"/><Relationship Id="rId413" Type="http://schemas.openxmlformats.org/officeDocument/2006/relationships/image" Target="../media/e433b51e_7e0e_11ed_a39b_047c1617b143_14190d33_a593_11ee_a526_047c1617b143413.jpeg"/><Relationship Id="rId414" Type="http://schemas.openxmlformats.org/officeDocument/2006/relationships/image" Target="../media/e433b520_7e0e_11ed_a39b_047c1617b143_14190d34_a593_11ee_a526_047c1617b143414.jpeg"/><Relationship Id="rId415" Type="http://schemas.openxmlformats.org/officeDocument/2006/relationships/image" Target="../media/e433b522_7e0e_11ed_a39b_047c1617b143_14190d2f_a593_11ee_a526_047c1617b143415.jpeg"/><Relationship Id="rId416" Type="http://schemas.openxmlformats.org/officeDocument/2006/relationships/image" Target="../media/e433b546_7e0e_11ed_a39b_047c1617b143_0d87f4f9_a593_11ee_a526_047c1617b143416.jpeg"/><Relationship Id="rId417" Type="http://schemas.openxmlformats.org/officeDocument/2006/relationships/image" Target="../media/e433b548_7e0e_11ed_a39b_047c1617b143_0d87f4fa_a593_11ee_a526_047c1617b143417.jpeg"/><Relationship Id="rId418" Type="http://schemas.openxmlformats.org/officeDocument/2006/relationships/image" Target="../media/e433b54a_7e0e_11ed_a39b_047c1617b143_0d87f4fb_a593_11ee_a526_047c1617b143418.jpeg"/><Relationship Id="rId419" Type="http://schemas.openxmlformats.org/officeDocument/2006/relationships/image" Target="../media/e433b54c_7e0e_11ed_a39b_047c1617b143_0d87f4fc_a593_11ee_a526_047c1617b143419.jpeg"/><Relationship Id="rId420" Type="http://schemas.openxmlformats.org/officeDocument/2006/relationships/image" Target="../media/e433b54e_7e0e_11ed_a39b_047c1617b143_0d87f4fd_a593_11ee_a526_047c1617b143420.jpeg"/><Relationship Id="rId421" Type="http://schemas.openxmlformats.org/officeDocument/2006/relationships/image" Target="../media/e433b550_7e0e_11ed_a39b_047c1617b143_0d87f507_a593_11ee_a526_047c1617b143421.jpeg"/><Relationship Id="rId422" Type="http://schemas.openxmlformats.org/officeDocument/2006/relationships/image" Target="../media/e433b552_7e0e_11ed_a39b_047c1617b143_0d87f508_a593_11ee_a526_047c1617b143422.jpeg"/><Relationship Id="rId423" Type="http://schemas.openxmlformats.org/officeDocument/2006/relationships/image" Target="../media/e433b554_7e0e_11ed_a39b_047c1617b143_0d87f509_a593_11ee_a526_047c1617b143423.jpeg"/><Relationship Id="rId424" Type="http://schemas.openxmlformats.org/officeDocument/2006/relationships/image" Target="../media/e433b556_7e0e_11ed_a39b_047c1617b143_0d87f50a_a593_11ee_a526_047c1617b143424.jpeg"/><Relationship Id="rId425" Type="http://schemas.openxmlformats.org/officeDocument/2006/relationships/image" Target="../media/e433b558_7e0e_11ed_a39b_047c1617b143_0d87f50b_a593_11ee_a526_047c1617b143425.jpeg"/><Relationship Id="rId426" Type="http://schemas.openxmlformats.org/officeDocument/2006/relationships/image" Target="../media/e433b55a_7e0e_11ed_a39b_047c1617b143_0d87f50c_a593_11ee_a526_047c1617b143426.jpeg"/><Relationship Id="rId427" Type="http://schemas.openxmlformats.org/officeDocument/2006/relationships/image" Target="../media/e433b55c_7e0e_11ed_a39b_047c1617b143_0d87f50d_a593_11ee_a526_047c1617b143427.jpeg"/><Relationship Id="rId428" Type="http://schemas.openxmlformats.org/officeDocument/2006/relationships/image" Target="../media/e433b55e_7e0e_11ed_a39b_047c1617b143_0d87f50e_a593_11ee_a526_047c1617b143428.jpeg"/><Relationship Id="rId429" Type="http://schemas.openxmlformats.org/officeDocument/2006/relationships/image" Target="../media/e433b560_7e0e_11ed_a39b_047c1617b143_0d87f50f_a593_11ee_a526_047c1617b143429.jpeg"/><Relationship Id="rId430" Type="http://schemas.openxmlformats.org/officeDocument/2006/relationships/image" Target="../media/e433b562_7e0e_11ed_a39b_047c1617b143_0d87f52e_a593_11ee_a526_047c1617b143430.jpeg"/><Relationship Id="rId431" Type="http://schemas.openxmlformats.org/officeDocument/2006/relationships/image" Target="../media/e433b564_7e0e_11ed_a39b_047c1617b143_0d87f52f_a593_11ee_a526_047c1617b143431.jpeg"/><Relationship Id="rId432" Type="http://schemas.openxmlformats.org/officeDocument/2006/relationships/image" Target="../media/e433b566_7e0e_11ed_a39b_047c1617b143_0d87f531_a593_11ee_a526_047c1617b143432.jpeg"/><Relationship Id="rId433" Type="http://schemas.openxmlformats.org/officeDocument/2006/relationships/image" Target="../media/e433b568_7e0e_11ed_a39b_047c1617b143_0d87f532_a593_11ee_a526_047c1617b143433.jpeg"/><Relationship Id="rId434" Type="http://schemas.openxmlformats.org/officeDocument/2006/relationships/image" Target="../media/e433b56a_7e0e_11ed_a39b_047c1617b143_0d87f535_a593_11ee_a526_047c1617b143434.jpeg"/><Relationship Id="rId435" Type="http://schemas.openxmlformats.org/officeDocument/2006/relationships/image" Target="../media/e433b56c_7e0e_11ed_a39b_047c1617b143_0d87f536_a593_11ee_a526_047c1617b143435.jpeg"/><Relationship Id="rId436" Type="http://schemas.openxmlformats.org/officeDocument/2006/relationships/image" Target="../media/e433b56e_7e0e_11ed_a39b_047c1617b143_0d87f539_a593_11ee_a526_047c1617b143436.jpeg"/><Relationship Id="rId437" Type="http://schemas.openxmlformats.org/officeDocument/2006/relationships/image" Target="../media/e433b570_7e0e_11ed_a39b_047c1617b143_695c461d_11fe_11ef_a5b8_047c1617b143437.png"/><Relationship Id="rId438" Type="http://schemas.openxmlformats.org/officeDocument/2006/relationships/image" Target="../media/e433b572_7e0e_11ed_a39b_047c1617b143_0d87f53b_a593_11ee_a526_047c1617b143438.jpeg"/><Relationship Id="rId439" Type="http://schemas.openxmlformats.org/officeDocument/2006/relationships/image" Target="../media/e433b574_7e0e_11ed_a39b_047c1617b143_0d87f52b_a593_11ee_a526_047c1617b143439.jpeg"/><Relationship Id="rId440" Type="http://schemas.openxmlformats.org/officeDocument/2006/relationships/image" Target="../media/e433b576_7e0e_11ed_a39b_047c1617b143_0d87f52c_a593_11ee_a526_047c1617b143440.jpeg"/><Relationship Id="rId441" Type="http://schemas.openxmlformats.org/officeDocument/2006/relationships/image" Target="../media/e433b578_7e0e_11ed_a39b_047c1617b143_0d87f52d_a593_11ee_a526_047c1617b143441.jpeg"/><Relationship Id="rId442" Type="http://schemas.openxmlformats.org/officeDocument/2006/relationships/image" Target="../media/e433b57a_7e0e_11ed_a39b_047c1617b143_0d87f530_a593_11ee_a526_047c1617b143442.jpeg"/><Relationship Id="rId443" Type="http://schemas.openxmlformats.org/officeDocument/2006/relationships/image" Target="../media/e433b57c_7e0e_11ed_a39b_047c1617b143_0d87f533_a593_11ee_a526_047c1617b143443.jpeg"/><Relationship Id="rId444" Type="http://schemas.openxmlformats.org/officeDocument/2006/relationships/image" Target="../media/e433b57e_7e0e_11ed_a39b_047c1617b143_0d87f534_a593_11ee_a526_047c1617b143444.jpeg"/><Relationship Id="rId445" Type="http://schemas.openxmlformats.org/officeDocument/2006/relationships/image" Target="../media/e433b580_7e0e_11ed_a39b_047c1617b143_0d87f537_a593_11ee_a526_047c1617b143445.jpeg"/><Relationship Id="rId446" Type="http://schemas.openxmlformats.org/officeDocument/2006/relationships/image" Target="../media/e433b582_7e0e_11ed_a39b_047c1617b143_0d87f538_a593_11ee_a526_047c1617b143446.jpeg"/><Relationship Id="rId447" Type="http://schemas.openxmlformats.org/officeDocument/2006/relationships/image" Target="../media/e433b584_7e0e_11ed_a39b_047c1617b143_0d87f53a_a593_11ee_a526_047c1617b143447.jpeg"/><Relationship Id="rId448" Type="http://schemas.openxmlformats.org/officeDocument/2006/relationships/image" Target="../media/e433b586_7e0e_11ed_a39b_047c1617b143_0d87f53c_a593_11ee_a526_047c1617b143448.jpeg"/><Relationship Id="rId449" Type="http://schemas.openxmlformats.org/officeDocument/2006/relationships/image" Target="../media/e433b588_7e0e_11ed_a39b_047c1617b143_0d87f51e_a593_11ee_a526_047c1617b143449.jpeg"/><Relationship Id="rId450" Type="http://schemas.openxmlformats.org/officeDocument/2006/relationships/image" Target="../media/e433b58a_7e0e_11ed_a39b_047c1617b143_0d87f520_a593_11ee_a526_047c1617b143450.jpeg"/><Relationship Id="rId451" Type="http://schemas.openxmlformats.org/officeDocument/2006/relationships/image" Target="../media/e433b58c_7e0e_11ed_a39b_047c1617b143_0d87f522_a593_11ee_a526_047c1617b143451.jpeg"/><Relationship Id="rId452" Type="http://schemas.openxmlformats.org/officeDocument/2006/relationships/image" Target="../media/e433b58e_7e0e_11ed_a39b_047c1617b143_0d87f51f_a593_11ee_a526_047c1617b143452.jpeg"/><Relationship Id="rId453" Type="http://schemas.openxmlformats.org/officeDocument/2006/relationships/image" Target="../media/e433b590_7e0e_11ed_a39b_047c1617b143_0d87f521_a593_11ee_a526_047c1617b143453.jpeg"/><Relationship Id="rId454" Type="http://schemas.openxmlformats.org/officeDocument/2006/relationships/image" Target="../media/e433b592_7e0e_11ed_a39b_047c1617b143_0d87f523_a593_11ee_a526_047c1617b143454.jpeg"/><Relationship Id="rId455" Type="http://schemas.openxmlformats.org/officeDocument/2006/relationships/image" Target="../media/e433b594_7e0e_11ed_a39b_047c1617b143_0d87f551_a593_11ee_a526_047c1617b143455.jpeg"/><Relationship Id="rId456" Type="http://schemas.openxmlformats.org/officeDocument/2006/relationships/image" Target="../media/e433b596_7e0e_11ed_a39b_047c1617b143_0d87f552_a593_11ee_a526_047c1617b143456.jpeg"/><Relationship Id="rId457" Type="http://schemas.openxmlformats.org/officeDocument/2006/relationships/image" Target="../media/e433b598_7e0e_11ed_a39b_047c1617b143_0d87f5d9_a593_11ee_a526_047c1617b143457.jpeg"/><Relationship Id="rId458" Type="http://schemas.openxmlformats.org/officeDocument/2006/relationships/image" Target="../media/21a39ba3_019d_11ef_a5a2_047c1617b143_ae66e603_3fbb_11ef_a5f3_047c1617b143458.jpeg"/><Relationship Id="rId459" Type="http://schemas.openxmlformats.org/officeDocument/2006/relationships/image" Target="../media/21a39ba5_019d_11ef_a5a2_047c1617b143_ae66e604_3fbb_11ef_a5f3_047c1617b14345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0" name="Image_104" descr="Image_10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1" name="Image_105" descr="Image_10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2" name="Image_106" descr="Image_10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3" name="Image_107" descr="Image_10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4" name="Image_108" descr="Image_10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5" name="Image_109" descr="Image_10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6" name="Image_110" descr="Image_11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7" name="Image_111" descr="Image_11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8" name="Image_112" descr="Image_11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9" name="Image_113" descr="Image_11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0" name="Image_114" descr="Image_11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1" name="Image_115" descr="Image_11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2" name="Image_116" descr="Image_11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3" name="Image_117" descr="Image_11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4" name="Image_118" descr="Image_11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5" name="Image_119" descr="Image_11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6" name="Image_120" descr="Image_12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7" name="Image_121" descr="Image_12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8" name="Image_122" descr="Image_12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9" name="Image_123" descr="Image_12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0" name="Image_124" descr="Image_12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1" name="Image_125" descr="Image_12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2" name="Image_126" descr="Image_12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3" name="Image_127" descr="Image_12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4" name="Image_128" descr="Image_12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5" name="Image_129" descr="Image_12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6" name="Image_130" descr="Image_13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7" name="Image_131" descr="Image_13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8" name="Image_132" descr="Image_13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9" name="Image_133" descr="Image_13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0" name="Image_134" descr="Image_13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1" name="Image_135" descr="Image_13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2" name="Image_136" descr="Image_13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3" name="Image_137" descr="Image_13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4" name="Image_138" descr="Image_13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5" name="Image_139" descr="Image_13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6" name="Image_140" descr="Image_14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7" name="Image_141" descr="Image_14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8" name="Image_142" descr="Image_14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9" name="Image_143" descr="Image_14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40" name="Image_144" descr="Image_14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1" name="Image_145" descr="Image_14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2" name="Image_146" descr="Image_14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3" name="Image_147" descr="Image_14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4" name="Image_148" descr="Image_14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5" name="Image_149" descr="Image_149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6" name="Image_150" descr="Image_150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7" name="Image_151" descr="Image_151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8" name="Image_152" descr="Image_152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9" name="Image_153" descr="Image_153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50" name="Image_154" descr="Image_154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1" name="Image_155" descr="Image_155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2" name="Image_156" descr="Image_156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3" name="Image_157" descr="Image_157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4" name="Image_158" descr="Image_158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5" name="Image_159" descr="Image_159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6" name="Image_160" descr="Image_160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7" name="Image_161" descr="Image_161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8" name="Image_162" descr="Image_162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9" name="Image_163" descr="Image_163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60" name="Image_164" descr="Image_164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1" name="Image_165" descr="Image_165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2" name="Image_166" descr="Image_166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3" name="Image_167" descr="Image_167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4" name="Image_168" descr="Image_168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5" name="Image_169" descr="Image_169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6" name="Image_170" descr="Image_170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7" name="Image_171" descr="Image_171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8" name="Image_172" descr="Image_172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9" name="Image_173" descr="Image_173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70" name="Image_174" descr="Image_174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1" name="Image_175" descr="Image_175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2" name="Image_176" descr="Image_176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3" name="Image_177" descr="Image_177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4" name="Image_178" descr="Image_178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5" name="Image_179" descr="Image_179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6" name="Image_180" descr="Image_180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7" name="Image_181" descr="Image_181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8" name="Image_182" descr="Image_182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9" name="Image_183" descr="Image_183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80" name="Image_184" descr="Image_18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1" name="Image_185" descr="Image_185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2" name="Image_186" descr="Image_186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3" name="Image_187" descr="Image_187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4" name="Image_188" descr="Image_18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5" name="Image_189" descr="Image_18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6" name="Image_190" descr="Image_19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7" name="Image_191" descr="Image_19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8" name="Image_192" descr="Image_19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9" name="Image_193" descr="Image_19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90" name="Image_194" descr="Image_19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1" name="Image_195" descr="Image_19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2" name="Image_196" descr="Image_196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3" name="Image_197" descr="Image_197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4" name="Image_198" descr="Image_19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5" name="Image_199" descr="Image_19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6" name="Image_200" descr="Image_20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7" name="Image_201" descr="Image_20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8" name="Image_202" descr="Image_20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9" name="Image_203" descr="Image_20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200" name="Image_204" descr="Image_20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1" name="Image_205" descr="Image_205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2" name="Image_206" descr="Image_206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3" name="Image_207" descr="Image_207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4" name="Image_208" descr="Image_208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5" name="Image_209" descr="Image_209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6" name="Image_210" descr="Image_210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7" name="Image_211" descr="Image_211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8" name="Image_212" descr="Image_212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9" name="Image_213" descr="Image_213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10" name="Image_214" descr="Image_214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11" name="Image_215" descr="Image_215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2" name="Image_216" descr="Image_216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3" name="Image_217" descr="Image_21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4" name="Image_218" descr="Image_21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5" name="Image_219" descr="Image_219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6" name="Image_220" descr="Image_220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7" name="Image_221" descr="Image_221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8" name="Image_222" descr="Image_22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9" name="Image_223" descr="Image_22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20" name="Image_224" descr="Image_224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21" name="Image_225" descr="Image_225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2" name="Image_226" descr="Image_226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23" name="Image_227" descr="Image_227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4" name="Image_228" descr="Image_228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5" name="Image_229" descr="Image_229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6" name="Image_230" descr="Image_230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7" name="Image_231" descr="Image_231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8" name="Image_232" descr="Image_23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9" name="Image_233" descr="Image_23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30" name="Image_234" descr="Image_23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31" name="Image_235" descr="Image_235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32" name="Image_236" descr="Image_236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3" name="Image_237" descr="Image_237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4" name="Image_238" descr="Image_238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5" name="Image_239" descr="Image_239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6" name="Image_240" descr="Image_240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7" name="Image_241" descr="Image_241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8" name="Image_242" descr="Image_242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9" name="Image_243" descr="Image_243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40" name="Image_244" descr="Image_24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41" name="Image_245" descr="Image_24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42" name="Image_246" descr="Image_246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3" name="Image_247" descr="Image_24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4" name="Image_248" descr="Image_24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5" name="Image_249" descr="Image_24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6" name="Image_250" descr="Image_25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7" name="Image_251" descr="Image_25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8" name="Image_252" descr="Image_252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9" name="Image_253" descr="Image_253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50" name="Image_254" descr="Image_254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51" name="Image_255" descr="Image_255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52" name="Image_256" descr="Image_256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3" name="Image_257" descr="Image_257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4" name="Image_258" descr="Image_258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5" name="Image_259" descr="Image_259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6" name="Image_260" descr="Image_260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7" name="Image_261" descr="Image_261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8" name="Image_262" descr="Image_262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9" name="Image_263" descr="Image_263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60" name="Image_264" descr="Image_264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61" name="Image_265" descr="Image_265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62" name="Image_266" descr="Image_266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63" name="Image_267" descr="Image_267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4" name="Image_268" descr="Image_268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5" name="Image_269" descr="Image_269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6" name="Image_270" descr="Image_270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7" name="Image_271" descr="Image_271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8" name="Image_272" descr="Image_272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9" name="Image_273" descr="Image_273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70" name="Image_274" descr="Image_274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71" name="Image_275" descr="Image_275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72" name="Image_276" descr="Image_276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73" name="Image_277" descr="Image_277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4" name="Image_278" descr="Image_278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5" name="Image_279" descr="Image_279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6" name="Image_280" descr="Image_280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7" name="Image_281" descr="Image_281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8" name="Image_282" descr="Image_282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9" name="Image_283" descr="Image_283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80" name="Image_284" descr="Image_284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81" name="Image_285" descr="Image_285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82" name="Image_286" descr="Image_286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83" name="Image_287" descr="Image_287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4" name="Image_288" descr="Image_288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5" name="Image_289" descr="Image_289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6" name="Image_290" descr="Image_290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7" name="Image_291" descr="Image_291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8" name="Image_292" descr="Image_292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9" name="Image_293" descr="Image_293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90" name="Image_294" descr="Image_294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91" name="Image_295" descr="Image_295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92" name="Image_296" descr="Image_296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93" name="Image_297" descr="Image_297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4" name="Image_298" descr="Image_298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5" name="Image_299" descr="Image_299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6" name="Image_300" descr="Image_300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7" name="Image_301" descr="Image_301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8" name="Image_302" descr="Image_302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9" name="Image_303" descr="Image_303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300" name="Image_304" descr="Image_304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301" name="Image_305" descr="Image_305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302" name="Image_306" descr="Image_306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303" name="Image_307" descr="Image_307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4" name="Image_308" descr="Image_308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5" name="Image_309" descr="Image_309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6" name="Image_310" descr="Image_310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7" name="Image_311" descr="Image_311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8" name="Image_312" descr="Image_312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9" name="Image_313" descr="Image_313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10" name="Image_314" descr="Image_314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11" name="Image_315" descr="Image_315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12" name="Image_316" descr="Image_316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13" name="Image_317" descr="Image_317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14" name="Image_318" descr="Image_318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15" name="Image_319" descr="Image_319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16" name="Image_320" descr="Image_320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7" name="Image_321" descr="Image_321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8" name="Image_322" descr="Image_322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9" name="Image_323" descr="Image_323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20" name="Image_324" descr="Image_324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21" name="Image_325" descr="Image_325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22" name="Image_326" descr="Image_326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23" name="Image_327" descr="Image_327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24" name="Image_328" descr="Image_328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25" name="Image_329" descr="Image_329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26" name="Image_330" descr="Image_330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7" name="Image_331" descr="Image_331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8" name="Image_332" descr="Image_332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9" name="Image_333" descr="Image_333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30" name="Image_334" descr="Image_334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31" name="Image_335" descr="Image_335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32" name="Image_336" descr="Image_336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33" name="Image_337" descr="Image_337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34" name="Image_338" descr="Image_338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35" name="Image_339" descr="Image_339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36" name="Image_340" descr="Image_340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7" name="Image_341" descr="Image_341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8" name="Image_342" descr="Image_342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9" name="Image_343" descr="Image_343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40" name="Image_344" descr="Image_344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41" name="Image_345" descr="Image_345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42" name="Image_346" descr="Image_346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43" name="Image_347" descr="Image_347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44" name="Image_348" descr="Image_348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45" name="Image_349" descr="Image_349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46" name="Image_350" descr="Image_350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7" name="Image_351" descr="Image_351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8" name="Image_352" descr="Image_352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9" name="Image_353" descr="Image_353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50" name="Image_354" descr="Image_354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51" name="Image_355" descr="Image_355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52" name="Image_356" descr="Image_356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53" name="Image_357" descr="Image_357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54" name="Image_358" descr="Image_358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55" name="Image_359" descr="Image_359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56" name="Image_360" descr="Image_360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57" name="Image_361" descr="Image_361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8" name="Image_362" descr="Image_362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59" name="Image_363" descr="Image_363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60" name="Image_364" descr="Image_364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61" name="Image_365" descr="Image_365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62" name="Image_366" descr="Image_366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63" name="Image_367" descr="Image_367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64" name="Image_368" descr="Image_368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65" name="Image_369" descr="Image_369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66" name="Image_370" descr="Image_370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67" name="Image_371" descr="Image_371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8" name="Image_372" descr="Image_372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69" name="Image_373" descr="Image_373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70" name="Image_374" descr="Image_374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71" name="Image_375" descr="Image_375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72" name="Image_376" descr="Image_376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73" name="Image_377" descr="Image_377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74" name="Image_378" descr="Image_378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75" name="Image_379" descr="Image_379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76" name="Image_380" descr="Image_380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77" name="Image_381" descr="Image_381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8" name="Image_382" descr="Image_382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79" name="Image_383" descr="Image_383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80" name="Image_384" descr="Image_384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81" name="Image_385" descr="Image_385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82" name="Image_386" descr="Image_386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83" name="Image_387" descr="Image_387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84" name="Image_388" descr="Image_388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85" name="Image_389" descr="Image_389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86" name="Image_390" descr="Image_390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87" name="Image_391" descr="Image_391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88" name="Image_392" descr="Image_392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89" name="Image_393" descr="Image_393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90" name="Image_394" descr="Image_394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91" name="Image_395" descr="Image_395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92" name="Image_396" descr="Image_396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93" name="Image_397" descr="Image_397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94" name="Image_398" descr="Image_398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95" name="Image_399" descr="Image_399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96" name="Image_400" descr="Image_400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97" name="Image_401" descr="Image_401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98" name="Image_402" descr="Image_402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99" name="Image_403" descr="Image_403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400" name="Image_404" descr="Image_404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401" name="Image_405" descr="Image_405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402" name="Image_406" descr="Image_406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403" name="Image_407" descr="Image_407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404" name="Image_408" descr="Image_408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405" name="Image_409" descr="Image_409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406" name="Image_410" descr="Image_410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407" name="Image_411" descr="Image_411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408" name="Image_412" descr="Image_412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409" name="Image_413" descr="Image_413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410" name="Image_414" descr="Image_414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411" name="Image_415" descr="Image_415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412" name="Image_416" descr="Image_416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413" name="Image_417" descr="Image_417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414" name="Image_418" descr="Image_418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15" name="Image_419" descr="Image_419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16" name="Image_420" descr="Image_420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417" name="Image_421" descr="Image_421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18" name="Image_422" descr="Image_422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419" name="Image_423" descr="Image_423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420" name="Image_424" descr="Image_424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421" name="Image_425" descr="Image_425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22" name="Image_426" descr="Image_426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23" name="Image_427" descr="Image_427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24" name="Image_428" descr="Image_428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25" name="Image_429" descr="Image_429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26" name="Image_430" descr="Image_430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27" name="Image_431" descr="Image_431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28" name="Image_432" descr="Image_432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29" name="Image_433" descr="Image_433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30" name="Image_434" descr="Image_434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31" name="Image_435" descr="Image_435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32" name="Image_436" descr="Image_436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33" name="Image_437" descr="Image_437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34" name="Image_438" descr="Image_438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35" name="Image_439" descr="Image_439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36" name="Image_440" descr="Image_440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37" name="Image_441" descr="Image_441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38" name="Image_442" descr="Image_442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39" name="Image_443" descr="Image_443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40" name="Image_444" descr="Image_444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41" name="Image_445" descr="Image_445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42" name="Image_446" descr="Image_446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43" name="Image_447" descr="Image_447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44" name="Image_448" descr="Image_448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45" name="Image_449" descr="Image_449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46" name="Image_450" descr="Image_450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47" name="Image_451" descr="Image_451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48" name="Image_452" descr="Image_452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49" name="Image_453" descr="Image_453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50" name="Image_454" descr="Image_454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51" name="Image_455" descr="Image_455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52" name="Image_456" descr="Image_456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53" name="Image_457" descr="Image_457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54" name="Image_458" descr="Image_458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55" name="Image_459" descr="Image_459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56" name="Image_460" descr="Image_460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57" name="Image_461" descr="Image_461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58" name="Image_462" descr="Image_462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59" name="Image_463" descr="Image_463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6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SUM(J2:J463)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929756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J5*6.12</f>
        <v>0</v>
      </c>
      <c r="L5" s="5"/>
    </row>
    <row r="6" spans="1:12" customHeight="1" ht="105" outlineLevel="4">
      <c r="A6" s="1"/>
      <c r="B6" s="1">
        <v>929757</v>
      </c>
      <c r="C6" s="1" t="s">
        <v>18</v>
      </c>
      <c r="D6" s="1"/>
      <c r="E6" s="2" t="s">
        <v>19</v>
      </c>
      <c r="F6" s="2" t="s">
        <v>20</v>
      </c>
      <c r="G6" s="2" t="s">
        <v>21</v>
      </c>
      <c r="H6" s="2">
        <v>0</v>
      </c>
      <c r="I6" s="1">
        <v>0</v>
      </c>
      <c r="J6" s="3" t="s">
        <v>17</v>
      </c>
      <c r="K6" s="2" t="str">
        <f>J6*9.52</f>
        <v>0</v>
      </c>
      <c r="L6" s="5"/>
    </row>
    <row r="7" spans="1:12" customHeight="1" ht="105" outlineLevel="4">
      <c r="A7" s="1"/>
      <c r="B7" s="1">
        <v>929758</v>
      </c>
      <c r="C7" s="1" t="s">
        <v>22</v>
      </c>
      <c r="D7" s="1"/>
      <c r="E7" s="2" t="s">
        <v>23</v>
      </c>
      <c r="F7" s="2" t="s">
        <v>24</v>
      </c>
      <c r="G7" s="2" t="s">
        <v>16</v>
      </c>
      <c r="H7" s="2">
        <v>0</v>
      </c>
      <c r="I7" s="1">
        <v>0</v>
      </c>
      <c r="J7" s="3" t="s">
        <v>17</v>
      </c>
      <c r="K7" s="2" t="str">
        <f>J7*17.47</f>
        <v>0</v>
      </c>
      <c r="L7" s="5"/>
    </row>
    <row r="8" spans="1:12" customHeight="1" ht="105" outlineLevel="4">
      <c r="A8" s="1"/>
      <c r="B8" s="1">
        <v>929759</v>
      </c>
      <c r="C8" s="1" t="s">
        <v>25</v>
      </c>
      <c r="D8" s="1"/>
      <c r="E8" s="2" t="s">
        <v>26</v>
      </c>
      <c r="F8" s="2" t="s">
        <v>27</v>
      </c>
      <c r="G8" s="2" t="s">
        <v>16</v>
      </c>
      <c r="H8" s="2">
        <v>0</v>
      </c>
      <c r="I8" s="1">
        <v>0</v>
      </c>
      <c r="J8" s="3" t="s">
        <v>17</v>
      </c>
      <c r="K8" s="2" t="str">
        <f>J8*28.30</f>
        <v>0</v>
      </c>
      <c r="L8" s="5"/>
    </row>
    <row r="9" spans="1:12" customHeight="1" ht="105" outlineLevel="4">
      <c r="A9" s="1"/>
      <c r="B9" s="1">
        <v>929760</v>
      </c>
      <c r="C9" s="1" t="s">
        <v>28</v>
      </c>
      <c r="D9" s="1"/>
      <c r="E9" s="2" t="s">
        <v>29</v>
      </c>
      <c r="F9" s="2" t="s">
        <v>30</v>
      </c>
      <c r="G9" s="2" t="s">
        <v>16</v>
      </c>
      <c r="H9" s="2">
        <v>0</v>
      </c>
      <c r="I9" s="1">
        <v>0</v>
      </c>
      <c r="J9" s="3" t="s">
        <v>17</v>
      </c>
      <c r="K9" s="2" t="str">
        <f>J9*44.50</f>
        <v>0</v>
      </c>
      <c r="L9" s="5"/>
    </row>
    <row r="10" spans="1:12" customHeight="1" ht="105" outlineLevel="4">
      <c r="A10" s="1"/>
      <c r="B10" s="1">
        <v>929761</v>
      </c>
      <c r="C10" s="1" t="s">
        <v>31</v>
      </c>
      <c r="D10" s="1"/>
      <c r="E10" s="2" t="s">
        <v>32</v>
      </c>
      <c r="F10" s="2" t="s">
        <v>33</v>
      </c>
      <c r="G10" s="2" t="s">
        <v>34</v>
      </c>
      <c r="H10" s="2">
        <v>0</v>
      </c>
      <c r="I10" s="1">
        <v>0</v>
      </c>
      <c r="J10" s="3" t="s">
        <v>17</v>
      </c>
      <c r="K10" s="2" t="str">
        <f>J10*78.84</f>
        <v>0</v>
      </c>
      <c r="L10" s="5"/>
    </row>
    <row r="11" spans="1:12" customHeight="1" ht="105" outlineLevel="4">
      <c r="A11" s="1"/>
      <c r="B11" s="1">
        <v>929762</v>
      </c>
      <c r="C11" s="1" t="s">
        <v>35</v>
      </c>
      <c r="D11" s="1"/>
      <c r="E11" s="2" t="s">
        <v>36</v>
      </c>
      <c r="F11" s="2" t="s">
        <v>37</v>
      </c>
      <c r="G11" s="2">
        <v>0</v>
      </c>
      <c r="H11" s="2">
        <v>0</v>
      </c>
      <c r="I11" s="1">
        <v>0</v>
      </c>
      <c r="J11" s="3" t="s">
        <v>17</v>
      </c>
      <c r="K11" s="2" t="str">
        <f>J11*160.06</f>
        <v>0</v>
      </c>
      <c r="L11" s="5"/>
    </row>
    <row r="12" spans="1:12" customHeight="1" ht="105" outlineLevel="4">
      <c r="A12" s="1"/>
      <c r="B12" s="1">
        <v>929763</v>
      </c>
      <c r="C12" s="1" t="s">
        <v>38</v>
      </c>
      <c r="D12" s="1"/>
      <c r="E12" s="2" t="s">
        <v>39</v>
      </c>
      <c r="F12" s="2" t="s">
        <v>40</v>
      </c>
      <c r="G12" s="2">
        <v>0</v>
      </c>
      <c r="H12" s="2">
        <v>0</v>
      </c>
      <c r="I12" s="1">
        <v>0</v>
      </c>
      <c r="J12" s="3" t="s">
        <v>17</v>
      </c>
      <c r="K12" s="2" t="str">
        <f>J12*262.01</f>
        <v>0</v>
      </c>
      <c r="L12" s="5"/>
    </row>
    <row r="13" spans="1:12" customHeight="1" ht="105" outlineLevel="4">
      <c r="A13" s="1"/>
      <c r="B13" s="1">
        <v>929764</v>
      </c>
      <c r="C13" s="1" t="s">
        <v>41</v>
      </c>
      <c r="D13" s="1"/>
      <c r="E13" s="2" t="s">
        <v>42</v>
      </c>
      <c r="F13" s="2" t="s">
        <v>43</v>
      </c>
      <c r="G13" s="2">
        <v>0</v>
      </c>
      <c r="H13" s="2">
        <v>0</v>
      </c>
      <c r="I13" s="1">
        <v>0</v>
      </c>
      <c r="J13" s="3" t="s">
        <v>17</v>
      </c>
      <c r="K13" s="2" t="str">
        <f>J13*441.50</f>
        <v>0</v>
      </c>
      <c r="L13" s="5"/>
    </row>
    <row r="14" spans="1:12" customHeight="1" ht="105" outlineLevel="4">
      <c r="A14" s="1"/>
      <c r="B14" s="1">
        <v>929765</v>
      </c>
      <c r="C14" s="1" t="s">
        <v>44</v>
      </c>
      <c r="D14" s="1"/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17</v>
      </c>
      <c r="K14" s="2" t="str">
        <f>J14*878.90</f>
        <v>0</v>
      </c>
      <c r="L14" s="5"/>
    </row>
    <row r="15" spans="1:12" customHeight="1" ht="105" outlineLevel="4">
      <c r="A15" s="1"/>
      <c r="B15" s="1">
        <v>929766</v>
      </c>
      <c r="C15" s="1" t="s">
        <v>47</v>
      </c>
      <c r="D15" s="1"/>
      <c r="E15" s="2" t="s">
        <v>48</v>
      </c>
      <c r="F15" s="2" t="s">
        <v>49</v>
      </c>
      <c r="G15" s="2">
        <v>0</v>
      </c>
      <c r="H15" s="2">
        <v>0</v>
      </c>
      <c r="I15" s="1">
        <v>0</v>
      </c>
      <c r="J15" s="3" t="s">
        <v>17</v>
      </c>
      <c r="K15" s="2" t="str">
        <f>J15*2067.98</f>
        <v>0</v>
      </c>
      <c r="L15" s="5"/>
    </row>
    <row r="16" spans="1:12" customHeight="1" ht="105" outlineLevel="4">
      <c r="A16" s="1"/>
      <c r="B16" s="1">
        <v>929767</v>
      </c>
      <c r="C16" s="1" t="s">
        <v>50</v>
      </c>
      <c r="D16" s="1"/>
      <c r="E16" s="2" t="s">
        <v>51</v>
      </c>
      <c r="F16" s="2" t="s">
        <v>20</v>
      </c>
      <c r="G16" s="2" t="s">
        <v>16</v>
      </c>
      <c r="H16" s="2">
        <v>0</v>
      </c>
      <c r="I16" s="1">
        <v>0</v>
      </c>
      <c r="J16" s="3" t="s">
        <v>17</v>
      </c>
      <c r="K16" s="2" t="str">
        <f>J16*9.52</f>
        <v>0</v>
      </c>
      <c r="L16" s="5"/>
    </row>
    <row r="17" spans="1:12" customHeight="1" ht="105" outlineLevel="4">
      <c r="A17" s="1"/>
      <c r="B17" s="1">
        <v>929768</v>
      </c>
      <c r="C17" s="1" t="s">
        <v>52</v>
      </c>
      <c r="D17" s="1"/>
      <c r="E17" s="2" t="s">
        <v>53</v>
      </c>
      <c r="F17" s="2" t="s">
        <v>54</v>
      </c>
      <c r="G17" s="2" t="s">
        <v>16</v>
      </c>
      <c r="H17" s="2">
        <v>0</v>
      </c>
      <c r="I17" s="1">
        <v>0</v>
      </c>
      <c r="J17" s="3" t="s">
        <v>17</v>
      </c>
      <c r="K17" s="2" t="str">
        <f>J17*13.57</f>
        <v>0</v>
      </c>
      <c r="L17" s="5"/>
    </row>
    <row r="18" spans="1:12" customHeight="1" ht="105" outlineLevel="4">
      <c r="A18" s="1"/>
      <c r="B18" s="1">
        <v>929769</v>
      </c>
      <c r="C18" s="1" t="s">
        <v>55</v>
      </c>
      <c r="D18" s="1"/>
      <c r="E18" s="2" t="s">
        <v>56</v>
      </c>
      <c r="F18" s="2" t="s">
        <v>57</v>
      </c>
      <c r="G18" s="2" t="s">
        <v>16</v>
      </c>
      <c r="H18" s="2">
        <v>0</v>
      </c>
      <c r="I18" s="1">
        <v>0</v>
      </c>
      <c r="J18" s="3" t="s">
        <v>17</v>
      </c>
      <c r="K18" s="2" t="str">
        <f>J18*14.00</f>
        <v>0</v>
      </c>
      <c r="L18" s="5"/>
    </row>
    <row r="19" spans="1:12" customHeight="1" ht="105" outlineLevel="4">
      <c r="A19" s="1"/>
      <c r="B19" s="1">
        <v>929770</v>
      </c>
      <c r="C19" s="1" t="s">
        <v>58</v>
      </c>
      <c r="D19" s="1"/>
      <c r="E19" s="2" t="s">
        <v>59</v>
      </c>
      <c r="F19" s="2" t="s">
        <v>60</v>
      </c>
      <c r="G19" s="2" t="s">
        <v>34</v>
      </c>
      <c r="H19" s="2">
        <v>0</v>
      </c>
      <c r="I19" s="1">
        <v>0</v>
      </c>
      <c r="J19" s="3" t="s">
        <v>17</v>
      </c>
      <c r="K19" s="2" t="str">
        <f>J19*23.54</f>
        <v>0</v>
      </c>
      <c r="L19" s="5"/>
    </row>
    <row r="20" spans="1:12" customHeight="1" ht="105" outlineLevel="4">
      <c r="A20" s="1"/>
      <c r="B20" s="1">
        <v>929771</v>
      </c>
      <c r="C20" s="1" t="s">
        <v>61</v>
      </c>
      <c r="D20" s="1"/>
      <c r="E20" s="2" t="s">
        <v>62</v>
      </c>
      <c r="F20" s="2" t="s">
        <v>63</v>
      </c>
      <c r="G20" s="2" t="s">
        <v>16</v>
      </c>
      <c r="H20" s="2">
        <v>0</v>
      </c>
      <c r="I20" s="1">
        <v>0</v>
      </c>
      <c r="J20" s="3" t="s">
        <v>17</v>
      </c>
      <c r="K20" s="2" t="str">
        <f>J20*23.98</f>
        <v>0</v>
      </c>
      <c r="L20" s="5"/>
    </row>
    <row r="21" spans="1:12" customHeight="1" ht="105" outlineLevel="4">
      <c r="A21" s="1"/>
      <c r="B21" s="1">
        <v>929772</v>
      </c>
      <c r="C21" s="1" t="s">
        <v>64</v>
      </c>
      <c r="D21" s="1"/>
      <c r="E21" s="2" t="s">
        <v>65</v>
      </c>
      <c r="F21" s="2" t="s">
        <v>27</v>
      </c>
      <c r="G21" s="2" t="s">
        <v>16</v>
      </c>
      <c r="H21" s="2">
        <v>0</v>
      </c>
      <c r="I21" s="1">
        <v>0</v>
      </c>
      <c r="J21" s="3" t="s">
        <v>17</v>
      </c>
      <c r="K21" s="2" t="str">
        <f>J21*28.30</f>
        <v>0</v>
      </c>
      <c r="L21" s="5"/>
    </row>
    <row r="22" spans="1:12" customHeight="1" ht="105" outlineLevel="4">
      <c r="A22" s="1"/>
      <c r="B22" s="1">
        <v>929773</v>
      </c>
      <c r="C22" s="1" t="s">
        <v>66</v>
      </c>
      <c r="D22" s="1"/>
      <c r="E22" s="2" t="s">
        <v>67</v>
      </c>
      <c r="F22" s="2" t="s">
        <v>68</v>
      </c>
      <c r="G22" s="2" t="s">
        <v>69</v>
      </c>
      <c r="H22" s="2">
        <v>0</v>
      </c>
      <c r="I22" s="1">
        <v>0</v>
      </c>
      <c r="J22" s="3" t="s">
        <v>17</v>
      </c>
      <c r="K22" s="2" t="str">
        <f>J22*42.55</f>
        <v>0</v>
      </c>
      <c r="L22" s="5"/>
    </row>
    <row r="23" spans="1:12" customHeight="1" ht="105" outlineLevel="4">
      <c r="A23" s="1"/>
      <c r="B23" s="1">
        <v>929774</v>
      </c>
      <c r="C23" s="1" t="s">
        <v>70</v>
      </c>
      <c r="D23" s="1"/>
      <c r="E23" s="2" t="s">
        <v>71</v>
      </c>
      <c r="F23" s="2" t="s">
        <v>72</v>
      </c>
      <c r="G23" s="2" t="s">
        <v>69</v>
      </c>
      <c r="H23" s="2">
        <v>0</v>
      </c>
      <c r="I23" s="1">
        <v>0</v>
      </c>
      <c r="J23" s="3" t="s">
        <v>17</v>
      </c>
      <c r="K23" s="2" t="str">
        <f>J23*43.42</f>
        <v>0</v>
      </c>
      <c r="L23" s="5"/>
    </row>
    <row r="24" spans="1:12" customHeight="1" ht="105" outlineLevel="4">
      <c r="A24" s="1"/>
      <c r="B24" s="1">
        <v>929775</v>
      </c>
      <c r="C24" s="1" t="s">
        <v>73</v>
      </c>
      <c r="D24" s="1"/>
      <c r="E24" s="2" t="s">
        <v>74</v>
      </c>
      <c r="F24" s="2" t="s">
        <v>75</v>
      </c>
      <c r="G24" s="2" t="s">
        <v>69</v>
      </c>
      <c r="H24" s="2">
        <v>0</v>
      </c>
      <c r="I24" s="1">
        <v>0</v>
      </c>
      <c r="J24" s="3" t="s">
        <v>17</v>
      </c>
      <c r="K24" s="2" t="str">
        <f>J24*36.29</f>
        <v>0</v>
      </c>
      <c r="L24" s="5"/>
    </row>
    <row r="25" spans="1:12" customHeight="1" ht="105" outlineLevel="4">
      <c r="A25" s="1"/>
      <c r="B25" s="1">
        <v>929776</v>
      </c>
      <c r="C25" s="1" t="s">
        <v>76</v>
      </c>
      <c r="D25" s="1"/>
      <c r="E25" s="2" t="s">
        <v>77</v>
      </c>
      <c r="F25" s="2" t="s">
        <v>78</v>
      </c>
      <c r="G25" s="2" t="s">
        <v>69</v>
      </c>
      <c r="H25" s="2">
        <v>0</v>
      </c>
      <c r="I25" s="1">
        <v>0</v>
      </c>
      <c r="J25" s="3" t="s">
        <v>17</v>
      </c>
      <c r="K25" s="2" t="str">
        <f>J25*46.87</f>
        <v>0</v>
      </c>
      <c r="L25" s="5"/>
    </row>
    <row r="26" spans="1:12" customHeight="1" ht="105" outlineLevel="4">
      <c r="A26" s="1"/>
      <c r="B26" s="1">
        <v>929777</v>
      </c>
      <c r="C26" s="1" t="s">
        <v>79</v>
      </c>
      <c r="D26" s="1"/>
      <c r="E26" s="2" t="s">
        <v>80</v>
      </c>
      <c r="F26" s="2" t="s">
        <v>81</v>
      </c>
      <c r="G26" s="2" t="s">
        <v>82</v>
      </c>
      <c r="H26" s="2">
        <v>0</v>
      </c>
      <c r="I26" s="1">
        <v>0</v>
      </c>
      <c r="J26" s="3" t="s">
        <v>17</v>
      </c>
      <c r="K26" s="2" t="str">
        <f>J26*84.46</f>
        <v>0</v>
      </c>
      <c r="L26" s="5"/>
    </row>
    <row r="27" spans="1:12" customHeight="1" ht="105" outlineLevel="4">
      <c r="A27" s="1"/>
      <c r="B27" s="1">
        <v>929778</v>
      </c>
      <c r="C27" s="1" t="s">
        <v>83</v>
      </c>
      <c r="D27" s="1"/>
      <c r="E27" s="2" t="s">
        <v>84</v>
      </c>
      <c r="F27" s="2" t="s">
        <v>85</v>
      </c>
      <c r="G27" s="2" t="s">
        <v>82</v>
      </c>
      <c r="H27" s="2">
        <v>0</v>
      </c>
      <c r="I27" s="1">
        <v>0</v>
      </c>
      <c r="J27" s="3" t="s">
        <v>17</v>
      </c>
      <c r="K27" s="2" t="str">
        <f>J27*86.40</f>
        <v>0</v>
      </c>
      <c r="L27" s="5"/>
    </row>
    <row r="28" spans="1:12" customHeight="1" ht="105" outlineLevel="4">
      <c r="A28" s="1"/>
      <c r="B28" s="1">
        <v>929779</v>
      </c>
      <c r="C28" s="1" t="s">
        <v>86</v>
      </c>
      <c r="D28" s="1"/>
      <c r="E28" s="2" t="s">
        <v>87</v>
      </c>
      <c r="F28" s="2" t="s">
        <v>88</v>
      </c>
      <c r="G28" s="2" t="s">
        <v>82</v>
      </c>
      <c r="H28" s="2">
        <v>0</v>
      </c>
      <c r="I28" s="1">
        <v>0</v>
      </c>
      <c r="J28" s="3" t="s">
        <v>17</v>
      </c>
      <c r="K28" s="2" t="str">
        <f>J28*76.46</f>
        <v>0</v>
      </c>
      <c r="L28" s="5"/>
    </row>
    <row r="29" spans="1:12" customHeight="1" ht="105" outlineLevel="4">
      <c r="A29" s="1"/>
      <c r="B29" s="1">
        <v>929780</v>
      </c>
      <c r="C29" s="1" t="s">
        <v>89</v>
      </c>
      <c r="D29" s="1"/>
      <c r="E29" s="2" t="s">
        <v>90</v>
      </c>
      <c r="F29" s="2" t="s">
        <v>91</v>
      </c>
      <c r="G29" s="2" t="s">
        <v>82</v>
      </c>
      <c r="H29" s="2">
        <v>0</v>
      </c>
      <c r="I29" s="1">
        <v>0</v>
      </c>
      <c r="J29" s="3" t="s">
        <v>17</v>
      </c>
      <c r="K29" s="2" t="str">
        <f>J29*79.49</f>
        <v>0</v>
      </c>
      <c r="L29" s="5"/>
    </row>
    <row r="30" spans="1:12" customHeight="1" ht="105" outlineLevel="4">
      <c r="A30" s="1"/>
      <c r="B30" s="1">
        <v>929781</v>
      </c>
      <c r="C30" s="1" t="s">
        <v>92</v>
      </c>
      <c r="D30" s="1"/>
      <c r="E30" s="2" t="s">
        <v>93</v>
      </c>
      <c r="F30" s="2" t="s">
        <v>94</v>
      </c>
      <c r="G30" s="2" t="s">
        <v>82</v>
      </c>
      <c r="H30" s="2">
        <v>0</v>
      </c>
      <c r="I30" s="1">
        <v>0</v>
      </c>
      <c r="J30" s="3" t="s">
        <v>17</v>
      </c>
      <c r="K30" s="2" t="str">
        <f>J30*87.48</f>
        <v>0</v>
      </c>
      <c r="L30" s="5"/>
    </row>
    <row r="31" spans="1:12" customHeight="1" ht="105" outlineLevel="4">
      <c r="A31" s="1"/>
      <c r="B31" s="1">
        <v>929782</v>
      </c>
      <c r="C31" s="1" t="s">
        <v>95</v>
      </c>
      <c r="D31" s="1"/>
      <c r="E31" s="2" t="s">
        <v>96</v>
      </c>
      <c r="F31" s="2" t="s">
        <v>97</v>
      </c>
      <c r="G31" s="2">
        <v>0</v>
      </c>
      <c r="H31" s="2">
        <v>0</v>
      </c>
      <c r="I31" s="1">
        <v>0</v>
      </c>
      <c r="J31" s="3" t="s">
        <v>17</v>
      </c>
      <c r="K31" s="2" t="str">
        <f>J31*115.99</f>
        <v>0</v>
      </c>
      <c r="L31" s="5"/>
    </row>
    <row r="32" spans="1:12" customHeight="1" ht="105" outlineLevel="4">
      <c r="A32" s="1"/>
      <c r="B32" s="1">
        <v>929783</v>
      </c>
      <c r="C32" s="1" t="s">
        <v>98</v>
      </c>
      <c r="D32" s="1"/>
      <c r="E32" s="2" t="s">
        <v>99</v>
      </c>
      <c r="F32" s="2" t="s">
        <v>100</v>
      </c>
      <c r="G32" s="2">
        <v>0</v>
      </c>
      <c r="H32" s="2">
        <v>0</v>
      </c>
      <c r="I32" s="1">
        <v>0</v>
      </c>
      <c r="J32" s="3" t="s">
        <v>17</v>
      </c>
      <c r="K32" s="2" t="str">
        <f>J32*123.77</f>
        <v>0</v>
      </c>
      <c r="L32" s="5"/>
    </row>
    <row r="33" spans="1:12" customHeight="1" ht="105" outlineLevel="4">
      <c r="A33" s="1"/>
      <c r="B33" s="1">
        <v>929784</v>
      </c>
      <c r="C33" s="1" t="s">
        <v>101</v>
      </c>
      <c r="D33" s="1"/>
      <c r="E33" s="2" t="s">
        <v>102</v>
      </c>
      <c r="F33" s="2" t="s">
        <v>103</v>
      </c>
      <c r="G33" s="2">
        <v>0</v>
      </c>
      <c r="H33" s="2">
        <v>0</v>
      </c>
      <c r="I33" s="1">
        <v>0</v>
      </c>
      <c r="J33" s="3" t="s">
        <v>17</v>
      </c>
      <c r="K33" s="2" t="str">
        <f>J33*118.37</f>
        <v>0</v>
      </c>
      <c r="L33" s="5"/>
    </row>
    <row r="34" spans="1:12" customHeight="1" ht="105" outlineLevel="4">
      <c r="A34" s="1"/>
      <c r="B34" s="1">
        <v>929785</v>
      </c>
      <c r="C34" s="1" t="s">
        <v>104</v>
      </c>
      <c r="D34" s="1"/>
      <c r="E34" s="2" t="s">
        <v>105</v>
      </c>
      <c r="F34" s="2" t="s">
        <v>106</v>
      </c>
      <c r="G34" s="2">
        <v>0</v>
      </c>
      <c r="H34" s="2">
        <v>0</v>
      </c>
      <c r="I34" s="1">
        <v>0</v>
      </c>
      <c r="J34" s="3" t="s">
        <v>17</v>
      </c>
      <c r="K34" s="2" t="str">
        <f>J34*118.80</f>
        <v>0</v>
      </c>
      <c r="L34" s="5"/>
    </row>
    <row r="35" spans="1:12" customHeight="1" ht="105" outlineLevel="4">
      <c r="A35" s="1"/>
      <c r="B35" s="1">
        <v>929786</v>
      </c>
      <c r="C35" s="1" t="s">
        <v>107</v>
      </c>
      <c r="D35" s="1"/>
      <c r="E35" s="2" t="s">
        <v>108</v>
      </c>
      <c r="F35" s="2" t="s">
        <v>109</v>
      </c>
      <c r="G35" s="2">
        <v>0</v>
      </c>
      <c r="H35" s="2">
        <v>0</v>
      </c>
      <c r="I35" s="1">
        <v>0</v>
      </c>
      <c r="J35" s="3" t="s">
        <v>17</v>
      </c>
      <c r="K35" s="2" t="str">
        <f>J35*188.57</f>
        <v>0</v>
      </c>
      <c r="L35" s="5"/>
    </row>
    <row r="36" spans="1:12" customHeight="1" ht="105" outlineLevel="4">
      <c r="A36" s="1"/>
      <c r="B36" s="1">
        <v>929787</v>
      </c>
      <c r="C36" s="1" t="s">
        <v>110</v>
      </c>
      <c r="D36" s="1"/>
      <c r="E36" s="2" t="s">
        <v>111</v>
      </c>
      <c r="F36" s="2" t="s">
        <v>112</v>
      </c>
      <c r="G36" s="2">
        <v>0</v>
      </c>
      <c r="H36" s="2">
        <v>0</v>
      </c>
      <c r="I36" s="1">
        <v>0</v>
      </c>
      <c r="J36" s="3" t="s">
        <v>17</v>
      </c>
      <c r="K36" s="2" t="str">
        <f>J36*190.30</f>
        <v>0</v>
      </c>
      <c r="L36" s="5"/>
    </row>
    <row r="37" spans="1:12" customHeight="1" ht="105" outlineLevel="4">
      <c r="A37" s="1"/>
      <c r="B37" s="1">
        <v>929788</v>
      </c>
      <c r="C37" s="1" t="s">
        <v>113</v>
      </c>
      <c r="D37" s="1"/>
      <c r="E37" s="2" t="s">
        <v>114</v>
      </c>
      <c r="F37" s="2" t="s">
        <v>115</v>
      </c>
      <c r="G37" s="2">
        <v>0</v>
      </c>
      <c r="H37" s="2">
        <v>0</v>
      </c>
      <c r="I37" s="1">
        <v>0</v>
      </c>
      <c r="J37" s="3" t="s">
        <v>17</v>
      </c>
      <c r="K37" s="2" t="str">
        <f>J37*220.54</f>
        <v>0</v>
      </c>
      <c r="L37" s="5"/>
    </row>
    <row r="38" spans="1:12" customHeight="1" ht="105" outlineLevel="4">
      <c r="A38" s="1"/>
      <c r="B38" s="1">
        <v>929789</v>
      </c>
      <c r="C38" s="1" t="s">
        <v>116</v>
      </c>
      <c r="D38" s="1"/>
      <c r="E38" s="2" t="s">
        <v>117</v>
      </c>
      <c r="F38" s="2" t="s">
        <v>118</v>
      </c>
      <c r="G38" s="2">
        <v>0</v>
      </c>
      <c r="H38" s="2">
        <v>0</v>
      </c>
      <c r="I38" s="1">
        <v>0</v>
      </c>
      <c r="J38" s="3" t="s">
        <v>17</v>
      </c>
      <c r="K38" s="2" t="str">
        <f>J38*208.87</f>
        <v>0</v>
      </c>
      <c r="L38" s="5"/>
    </row>
    <row r="39" spans="1:12" customHeight="1" ht="105" outlineLevel="4">
      <c r="A39" s="1"/>
      <c r="B39" s="1">
        <v>929790</v>
      </c>
      <c r="C39" s="1" t="s">
        <v>119</v>
      </c>
      <c r="D39" s="1"/>
      <c r="E39" s="2" t="s">
        <v>120</v>
      </c>
      <c r="F39" s="2" t="s">
        <v>121</v>
      </c>
      <c r="G39" s="2">
        <v>0</v>
      </c>
      <c r="H39" s="2">
        <v>0</v>
      </c>
      <c r="I39" s="1">
        <v>0</v>
      </c>
      <c r="J39" s="3" t="s">
        <v>17</v>
      </c>
      <c r="K39" s="2" t="str">
        <f>J39*217.51</f>
        <v>0</v>
      </c>
      <c r="L39" s="5"/>
    </row>
    <row r="40" spans="1:12" customHeight="1" ht="105" outlineLevel="4">
      <c r="A40" s="1"/>
      <c r="B40" s="1">
        <v>929791</v>
      </c>
      <c r="C40" s="1" t="s">
        <v>122</v>
      </c>
      <c r="D40" s="1"/>
      <c r="E40" s="2" t="s">
        <v>123</v>
      </c>
      <c r="F40" s="2" t="s">
        <v>124</v>
      </c>
      <c r="G40" s="2">
        <v>0</v>
      </c>
      <c r="H40" s="2">
        <v>0</v>
      </c>
      <c r="I40" s="1">
        <v>0</v>
      </c>
      <c r="J40" s="3" t="s">
        <v>17</v>
      </c>
      <c r="K40" s="2" t="str">
        <f>J40*365.47</f>
        <v>0</v>
      </c>
      <c r="L40" s="5"/>
    </row>
    <row r="41" spans="1:12" customHeight="1" ht="105" outlineLevel="4">
      <c r="A41" s="1"/>
      <c r="B41" s="1">
        <v>929792</v>
      </c>
      <c r="C41" s="1" t="s">
        <v>125</v>
      </c>
      <c r="D41" s="1"/>
      <c r="E41" s="2" t="s">
        <v>126</v>
      </c>
      <c r="F41" s="2" t="s">
        <v>127</v>
      </c>
      <c r="G41" s="2">
        <v>0</v>
      </c>
      <c r="H41" s="2">
        <v>0</v>
      </c>
      <c r="I41" s="1">
        <v>0</v>
      </c>
      <c r="J41" s="3" t="s">
        <v>17</v>
      </c>
      <c r="K41" s="2" t="str">
        <f>J41*350.57</f>
        <v>0</v>
      </c>
      <c r="L41" s="5"/>
    </row>
    <row r="42" spans="1:12" customHeight="1" ht="105" outlineLevel="4">
      <c r="A42" s="1"/>
      <c r="B42" s="1">
        <v>929793</v>
      </c>
      <c r="C42" s="1" t="s">
        <v>128</v>
      </c>
      <c r="D42" s="1"/>
      <c r="E42" s="2" t="s">
        <v>129</v>
      </c>
      <c r="F42" s="2" t="s">
        <v>130</v>
      </c>
      <c r="G42" s="2">
        <v>0</v>
      </c>
      <c r="H42" s="2">
        <v>0</v>
      </c>
      <c r="I42" s="1">
        <v>0</v>
      </c>
      <c r="J42" s="3" t="s">
        <v>17</v>
      </c>
      <c r="K42" s="2" t="str">
        <f>J42*355.10</f>
        <v>0</v>
      </c>
      <c r="L42" s="5"/>
    </row>
    <row r="43" spans="1:12" customHeight="1" ht="105" outlineLevel="4">
      <c r="A43" s="1"/>
      <c r="B43" s="1">
        <v>929794</v>
      </c>
      <c r="C43" s="1" t="s">
        <v>131</v>
      </c>
      <c r="D43" s="1"/>
      <c r="E43" s="2" t="s">
        <v>132</v>
      </c>
      <c r="F43" s="2" t="s">
        <v>133</v>
      </c>
      <c r="G43" s="2">
        <v>0</v>
      </c>
      <c r="H43" s="2">
        <v>0</v>
      </c>
      <c r="I43" s="1">
        <v>0</v>
      </c>
      <c r="J43" s="3" t="s">
        <v>17</v>
      </c>
      <c r="K43" s="2" t="str">
        <f>J43*359.64</f>
        <v>0</v>
      </c>
      <c r="L43" s="5"/>
    </row>
    <row r="44" spans="1:12" customHeight="1" ht="105" outlineLevel="4">
      <c r="A44" s="1"/>
      <c r="B44" s="1">
        <v>929795</v>
      </c>
      <c r="C44" s="1" t="s">
        <v>134</v>
      </c>
      <c r="D44" s="1"/>
      <c r="E44" s="2" t="s">
        <v>135</v>
      </c>
      <c r="F44" s="2" t="s">
        <v>136</v>
      </c>
      <c r="G44" s="2">
        <v>0</v>
      </c>
      <c r="H44" s="2">
        <v>0</v>
      </c>
      <c r="I44" s="1">
        <v>0</v>
      </c>
      <c r="J44" s="3" t="s">
        <v>17</v>
      </c>
      <c r="K44" s="2" t="str">
        <f>J44*705.24</f>
        <v>0</v>
      </c>
      <c r="L44" s="5"/>
    </row>
    <row r="45" spans="1:12" customHeight="1" ht="105" outlineLevel="4">
      <c r="A45" s="1"/>
      <c r="B45" s="1">
        <v>929796</v>
      </c>
      <c r="C45" s="1" t="s">
        <v>137</v>
      </c>
      <c r="D45" s="1"/>
      <c r="E45" s="2" t="s">
        <v>138</v>
      </c>
      <c r="F45" s="2" t="s">
        <v>139</v>
      </c>
      <c r="G45" s="2">
        <v>0</v>
      </c>
      <c r="H45" s="2">
        <v>0</v>
      </c>
      <c r="I45" s="1">
        <v>0</v>
      </c>
      <c r="J45" s="3" t="s">
        <v>17</v>
      </c>
      <c r="K45" s="2" t="str">
        <f>J45*924.91</f>
        <v>0</v>
      </c>
      <c r="L45" s="5"/>
    </row>
    <row r="46" spans="1:12" customHeight="1" ht="105" outlineLevel="4">
      <c r="A46" s="1"/>
      <c r="B46" s="1">
        <v>929797</v>
      </c>
      <c r="C46" s="1" t="s">
        <v>140</v>
      </c>
      <c r="D46" s="1"/>
      <c r="E46" s="2" t="s">
        <v>141</v>
      </c>
      <c r="F46" s="2" t="s">
        <v>142</v>
      </c>
      <c r="G46" s="2" t="s">
        <v>16</v>
      </c>
      <c r="H46" s="2">
        <v>0</v>
      </c>
      <c r="I46" s="1">
        <v>0</v>
      </c>
      <c r="J46" s="3" t="s">
        <v>17</v>
      </c>
      <c r="K46" s="2" t="str">
        <f>J46*6.05</f>
        <v>0</v>
      </c>
      <c r="L46" s="5"/>
    </row>
    <row r="47" spans="1:12" customHeight="1" ht="105" outlineLevel="4">
      <c r="A47" s="1"/>
      <c r="B47" s="1">
        <v>929798</v>
      </c>
      <c r="C47" s="1" t="s">
        <v>143</v>
      </c>
      <c r="D47" s="1"/>
      <c r="E47" s="2" t="s">
        <v>144</v>
      </c>
      <c r="F47" s="2" t="s">
        <v>145</v>
      </c>
      <c r="G47" s="2" t="s">
        <v>16</v>
      </c>
      <c r="H47" s="2">
        <v>0</v>
      </c>
      <c r="I47" s="1">
        <v>0</v>
      </c>
      <c r="J47" s="3" t="s">
        <v>17</v>
      </c>
      <c r="K47" s="2" t="str">
        <f>J47*10.58</f>
        <v>0</v>
      </c>
      <c r="L47" s="5"/>
    </row>
    <row r="48" spans="1:12" customHeight="1" ht="105" outlineLevel="4">
      <c r="A48" s="1"/>
      <c r="B48" s="1">
        <v>929799</v>
      </c>
      <c r="C48" s="1" t="s">
        <v>146</v>
      </c>
      <c r="D48" s="1"/>
      <c r="E48" s="2" t="s">
        <v>147</v>
      </c>
      <c r="F48" s="2" t="s">
        <v>148</v>
      </c>
      <c r="G48" s="2" t="s">
        <v>34</v>
      </c>
      <c r="H48" s="2">
        <v>0</v>
      </c>
      <c r="I48" s="1">
        <v>0</v>
      </c>
      <c r="J48" s="3" t="s">
        <v>17</v>
      </c>
      <c r="K48" s="2" t="str">
        <f>J48*10.80</f>
        <v>0</v>
      </c>
      <c r="L48" s="5"/>
    </row>
    <row r="49" spans="1:12" customHeight="1" ht="105" outlineLevel="4">
      <c r="A49" s="1"/>
      <c r="B49" s="1">
        <v>929800</v>
      </c>
      <c r="C49" s="1" t="s">
        <v>149</v>
      </c>
      <c r="D49" s="1"/>
      <c r="E49" s="2" t="s">
        <v>150</v>
      </c>
      <c r="F49" s="2" t="s">
        <v>151</v>
      </c>
      <c r="G49" s="2" t="s">
        <v>69</v>
      </c>
      <c r="H49" s="2">
        <v>0</v>
      </c>
      <c r="I49" s="1">
        <v>0</v>
      </c>
      <c r="J49" s="3" t="s">
        <v>17</v>
      </c>
      <c r="K49" s="2" t="str">
        <f>J49*17.28</f>
        <v>0</v>
      </c>
      <c r="L49" s="5"/>
    </row>
    <row r="50" spans="1:12" customHeight="1" ht="105" outlineLevel="4">
      <c r="A50" s="1"/>
      <c r="B50" s="1">
        <v>929801</v>
      </c>
      <c r="C50" s="1" t="s">
        <v>152</v>
      </c>
      <c r="D50" s="1"/>
      <c r="E50" s="2" t="s">
        <v>153</v>
      </c>
      <c r="F50" s="2" t="s">
        <v>154</v>
      </c>
      <c r="G50" s="2" t="s">
        <v>69</v>
      </c>
      <c r="H50" s="2">
        <v>0</v>
      </c>
      <c r="I50" s="1">
        <v>0</v>
      </c>
      <c r="J50" s="3" t="s">
        <v>17</v>
      </c>
      <c r="K50" s="2" t="str">
        <f>J50*18.36</f>
        <v>0</v>
      </c>
      <c r="L50" s="5"/>
    </row>
    <row r="51" spans="1:12" customHeight="1" ht="105" outlineLevel="4">
      <c r="A51" s="1"/>
      <c r="B51" s="1">
        <v>929802</v>
      </c>
      <c r="C51" s="1" t="s">
        <v>155</v>
      </c>
      <c r="D51" s="1"/>
      <c r="E51" s="2" t="s">
        <v>156</v>
      </c>
      <c r="F51" s="2" t="s">
        <v>157</v>
      </c>
      <c r="G51" s="2" t="s">
        <v>34</v>
      </c>
      <c r="H51" s="2">
        <v>0</v>
      </c>
      <c r="I51" s="1">
        <v>0</v>
      </c>
      <c r="J51" s="3" t="s">
        <v>17</v>
      </c>
      <c r="K51" s="2" t="str">
        <f>J51*20.30</f>
        <v>0</v>
      </c>
      <c r="L51" s="5"/>
    </row>
    <row r="52" spans="1:12" customHeight="1" ht="105" outlineLevel="4">
      <c r="A52" s="1"/>
      <c r="B52" s="1">
        <v>929803</v>
      </c>
      <c r="C52" s="1" t="s">
        <v>158</v>
      </c>
      <c r="D52" s="1"/>
      <c r="E52" s="2" t="s">
        <v>159</v>
      </c>
      <c r="F52" s="2" t="s">
        <v>160</v>
      </c>
      <c r="G52" s="2" t="s">
        <v>82</v>
      </c>
      <c r="H52" s="2">
        <v>0</v>
      </c>
      <c r="I52" s="1">
        <v>0</v>
      </c>
      <c r="J52" s="3" t="s">
        <v>17</v>
      </c>
      <c r="K52" s="2" t="str">
        <f>J52*29.59</f>
        <v>0</v>
      </c>
      <c r="L52" s="5"/>
    </row>
    <row r="53" spans="1:12" customHeight="1" ht="105" outlineLevel="4">
      <c r="A53" s="1"/>
      <c r="B53" s="1">
        <v>929804</v>
      </c>
      <c r="C53" s="1" t="s">
        <v>161</v>
      </c>
      <c r="D53" s="1"/>
      <c r="E53" s="2" t="s">
        <v>162</v>
      </c>
      <c r="F53" s="2" t="s">
        <v>163</v>
      </c>
      <c r="G53" s="2" t="s">
        <v>82</v>
      </c>
      <c r="H53" s="2">
        <v>0</v>
      </c>
      <c r="I53" s="1">
        <v>0</v>
      </c>
      <c r="J53" s="3" t="s">
        <v>17</v>
      </c>
      <c r="K53" s="2" t="str">
        <f>J53*30.46</f>
        <v>0</v>
      </c>
      <c r="L53" s="5"/>
    </row>
    <row r="54" spans="1:12" customHeight="1" ht="105" outlineLevel="4">
      <c r="A54" s="1"/>
      <c r="B54" s="1">
        <v>929805</v>
      </c>
      <c r="C54" s="1" t="s">
        <v>164</v>
      </c>
      <c r="D54" s="1"/>
      <c r="E54" s="2" t="s">
        <v>165</v>
      </c>
      <c r="F54" s="2" t="s">
        <v>166</v>
      </c>
      <c r="G54" s="2" t="s">
        <v>82</v>
      </c>
      <c r="H54" s="2">
        <v>0</v>
      </c>
      <c r="I54" s="1">
        <v>0</v>
      </c>
      <c r="J54" s="3" t="s">
        <v>17</v>
      </c>
      <c r="K54" s="2" t="str">
        <f>J54*31.97</f>
        <v>0</v>
      </c>
      <c r="L54" s="5"/>
    </row>
    <row r="55" spans="1:12" customHeight="1" ht="105" outlineLevel="4">
      <c r="A55" s="1"/>
      <c r="B55" s="1">
        <v>929806</v>
      </c>
      <c r="C55" s="1" t="s">
        <v>167</v>
      </c>
      <c r="D55" s="1"/>
      <c r="E55" s="2" t="s">
        <v>168</v>
      </c>
      <c r="F55" s="2" t="s">
        <v>169</v>
      </c>
      <c r="G55" s="2" t="s">
        <v>82</v>
      </c>
      <c r="H55" s="2">
        <v>0</v>
      </c>
      <c r="I55" s="1">
        <v>0</v>
      </c>
      <c r="J55" s="3" t="s">
        <v>17</v>
      </c>
      <c r="K55" s="2" t="str">
        <f>J55*36.72</f>
        <v>0</v>
      </c>
      <c r="L55" s="5"/>
    </row>
    <row r="56" spans="1:12" customHeight="1" ht="105" outlineLevel="4">
      <c r="A56" s="1"/>
      <c r="B56" s="1">
        <v>929807</v>
      </c>
      <c r="C56" s="1" t="s">
        <v>170</v>
      </c>
      <c r="D56" s="1"/>
      <c r="E56" s="2" t="s">
        <v>171</v>
      </c>
      <c r="F56" s="2" t="s">
        <v>172</v>
      </c>
      <c r="G56" s="2" t="s">
        <v>82</v>
      </c>
      <c r="H56" s="2">
        <v>0</v>
      </c>
      <c r="I56" s="1">
        <v>0</v>
      </c>
      <c r="J56" s="3" t="s">
        <v>17</v>
      </c>
      <c r="K56" s="2" t="str">
        <f>J56*41.90</f>
        <v>0</v>
      </c>
      <c r="L56" s="5"/>
    </row>
    <row r="57" spans="1:12" customHeight="1" ht="105" outlineLevel="4">
      <c r="A57" s="1"/>
      <c r="B57" s="1">
        <v>929808</v>
      </c>
      <c r="C57" s="1" t="s">
        <v>173</v>
      </c>
      <c r="D57" s="1"/>
      <c r="E57" s="2" t="s">
        <v>174</v>
      </c>
      <c r="F57" s="2" t="s">
        <v>175</v>
      </c>
      <c r="G57" s="2" t="s">
        <v>69</v>
      </c>
      <c r="H57" s="2">
        <v>0</v>
      </c>
      <c r="I57" s="1">
        <v>0</v>
      </c>
      <c r="J57" s="3" t="s">
        <v>17</v>
      </c>
      <c r="K57" s="2" t="str">
        <f>J57*52.27</f>
        <v>0</v>
      </c>
      <c r="L57" s="5"/>
    </row>
    <row r="58" spans="1:12" customHeight="1" ht="105" outlineLevel="4">
      <c r="A58" s="1"/>
      <c r="B58" s="1">
        <v>929809</v>
      </c>
      <c r="C58" s="1" t="s">
        <v>176</v>
      </c>
      <c r="D58" s="1"/>
      <c r="E58" s="2" t="s">
        <v>177</v>
      </c>
      <c r="F58" s="2" t="s">
        <v>178</v>
      </c>
      <c r="G58" s="2">
        <v>6</v>
      </c>
      <c r="H58" s="2">
        <v>0</v>
      </c>
      <c r="I58" s="1">
        <v>0</v>
      </c>
      <c r="J58" s="3" t="s">
        <v>17</v>
      </c>
      <c r="K58" s="2" t="str">
        <f>J58*50.98</f>
        <v>0</v>
      </c>
      <c r="L58" s="5"/>
    </row>
    <row r="59" spans="1:12" customHeight="1" ht="105" outlineLevel="4">
      <c r="A59" s="1"/>
      <c r="B59" s="1">
        <v>929810</v>
      </c>
      <c r="C59" s="1" t="s">
        <v>179</v>
      </c>
      <c r="D59" s="1"/>
      <c r="E59" s="2" t="s">
        <v>180</v>
      </c>
      <c r="F59" s="2" t="s">
        <v>181</v>
      </c>
      <c r="G59" s="2">
        <v>0</v>
      </c>
      <c r="H59" s="2">
        <v>0</v>
      </c>
      <c r="I59" s="1">
        <v>0</v>
      </c>
      <c r="J59" s="3" t="s">
        <v>17</v>
      </c>
      <c r="K59" s="2" t="str">
        <f>J59*60.91</f>
        <v>0</v>
      </c>
      <c r="L59" s="5"/>
    </row>
    <row r="60" spans="1:12" customHeight="1" ht="105" outlineLevel="4">
      <c r="A60" s="1"/>
      <c r="B60" s="1">
        <v>929811</v>
      </c>
      <c r="C60" s="1" t="s">
        <v>182</v>
      </c>
      <c r="D60" s="1"/>
      <c r="E60" s="2" t="s">
        <v>183</v>
      </c>
      <c r="F60" s="2" t="s">
        <v>184</v>
      </c>
      <c r="G60" s="2">
        <v>0</v>
      </c>
      <c r="H60" s="2">
        <v>0</v>
      </c>
      <c r="I60" s="1">
        <v>0</v>
      </c>
      <c r="J60" s="3" t="s">
        <v>17</v>
      </c>
      <c r="K60" s="2" t="str">
        <f>J60*159.12</f>
        <v>0</v>
      </c>
      <c r="L60" s="5"/>
    </row>
    <row r="61" spans="1:12" customHeight="1" ht="105" outlineLevel="4">
      <c r="A61" s="1"/>
      <c r="B61" s="1">
        <v>929812</v>
      </c>
      <c r="C61" s="1" t="s">
        <v>185</v>
      </c>
      <c r="D61" s="1"/>
      <c r="E61" s="2" t="s">
        <v>186</v>
      </c>
      <c r="F61" s="2" t="s">
        <v>187</v>
      </c>
      <c r="G61" s="2">
        <v>0</v>
      </c>
      <c r="H61" s="2">
        <v>0</v>
      </c>
      <c r="I61" s="1">
        <v>0</v>
      </c>
      <c r="J61" s="3" t="s">
        <v>17</v>
      </c>
      <c r="K61" s="2" t="str">
        <f>J61*171.36</f>
        <v>0</v>
      </c>
      <c r="L61" s="5"/>
    </row>
    <row r="62" spans="1:12" customHeight="1" ht="105" outlineLevel="4">
      <c r="A62" s="1"/>
      <c r="B62" s="1">
        <v>929813</v>
      </c>
      <c r="C62" s="1" t="s">
        <v>188</v>
      </c>
      <c r="D62" s="1"/>
      <c r="E62" s="2" t="s">
        <v>189</v>
      </c>
      <c r="F62" s="2" t="s">
        <v>190</v>
      </c>
      <c r="G62" s="2">
        <v>0</v>
      </c>
      <c r="H62" s="2">
        <v>0</v>
      </c>
      <c r="I62" s="1">
        <v>0</v>
      </c>
      <c r="J62" s="3" t="s">
        <v>17</v>
      </c>
      <c r="K62" s="2" t="str">
        <f>J62*307.53</f>
        <v>0</v>
      </c>
      <c r="L62" s="5"/>
    </row>
    <row r="63" spans="1:12" customHeight="1" ht="105" outlineLevel="4">
      <c r="A63" s="1"/>
      <c r="B63" s="1">
        <v>929814</v>
      </c>
      <c r="C63" s="1" t="s">
        <v>191</v>
      </c>
      <c r="D63" s="1"/>
      <c r="E63" s="2" t="s">
        <v>192</v>
      </c>
      <c r="F63" s="2" t="s">
        <v>193</v>
      </c>
      <c r="G63" s="2">
        <v>0</v>
      </c>
      <c r="H63" s="2">
        <v>0</v>
      </c>
      <c r="I63" s="1">
        <v>0</v>
      </c>
      <c r="J63" s="3" t="s">
        <v>17</v>
      </c>
      <c r="K63" s="2" t="str">
        <f>J63*362.61</f>
        <v>0</v>
      </c>
      <c r="L63" s="5"/>
    </row>
    <row r="64" spans="1:12" customHeight="1" ht="105" outlineLevel="4">
      <c r="A64" s="1"/>
      <c r="B64" s="1">
        <v>929815</v>
      </c>
      <c r="C64" s="1" t="s">
        <v>194</v>
      </c>
      <c r="D64" s="1"/>
      <c r="E64" s="2" t="s">
        <v>195</v>
      </c>
      <c r="F64" s="2" t="s">
        <v>196</v>
      </c>
      <c r="G64" s="2">
        <v>0</v>
      </c>
      <c r="H64" s="2">
        <v>0</v>
      </c>
      <c r="I64" s="1">
        <v>0</v>
      </c>
      <c r="J64" s="3" t="s">
        <v>17</v>
      </c>
      <c r="K64" s="2" t="str">
        <f>J64*749.70</f>
        <v>0</v>
      </c>
      <c r="L64" s="5"/>
    </row>
    <row r="65" spans="1:12" customHeight="1" ht="105" outlineLevel="4">
      <c r="A65" s="1"/>
      <c r="B65" s="1">
        <v>929816</v>
      </c>
      <c r="C65" s="1" t="s">
        <v>197</v>
      </c>
      <c r="D65" s="1"/>
      <c r="E65" s="2" t="s">
        <v>198</v>
      </c>
      <c r="F65" s="2" t="s">
        <v>199</v>
      </c>
      <c r="G65" s="2" t="s">
        <v>82</v>
      </c>
      <c r="H65" s="2">
        <v>0</v>
      </c>
      <c r="I65" s="1">
        <v>0</v>
      </c>
      <c r="J65" s="3" t="s">
        <v>17</v>
      </c>
      <c r="K65" s="2" t="str">
        <f>J65*35.64</f>
        <v>0</v>
      </c>
      <c r="L65" s="5"/>
    </row>
    <row r="66" spans="1:12" customHeight="1" ht="105" outlineLevel="4">
      <c r="A66" s="1"/>
      <c r="B66" s="1">
        <v>929817</v>
      </c>
      <c r="C66" s="1" t="s">
        <v>200</v>
      </c>
      <c r="D66" s="1"/>
      <c r="E66" s="2" t="s">
        <v>201</v>
      </c>
      <c r="F66" s="2" t="s">
        <v>202</v>
      </c>
      <c r="G66" s="2">
        <v>0</v>
      </c>
      <c r="H66" s="2">
        <v>0</v>
      </c>
      <c r="I66" s="1">
        <v>0</v>
      </c>
      <c r="J66" s="3" t="s">
        <v>17</v>
      </c>
      <c r="K66" s="2" t="str">
        <f>J66*57.67</f>
        <v>0</v>
      </c>
      <c r="L66" s="5"/>
    </row>
    <row r="67" spans="1:12" customHeight="1" ht="105" outlineLevel="4">
      <c r="A67" s="1"/>
      <c r="B67" s="1">
        <v>929818</v>
      </c>
      <c r="C67" s="1" t="s">
        <v>203</v>
      </c>
      <c r="D67" s="1"/>
      <c r="E67" s="2" t="s">
        <v>204</v>
      </c>
      <c r="F67" s="2" t="s">
        <v>205</v>
      </c>
      <c r="G67" s="2">
        <v>10</v>
      </c>
      <c r="H67" s="2">
        <v>0</v>
      </c>
      <c r="I67" s="1">
        <v>0</v>
      </c>
      <c r="J67" s="3" t="s">
        <v>17</v>
      </c>
      <c r="K67" s="2" t="str">
        <f>J67*92.66</f>
        <v>0</v>
      </c>
      <c r="L67" s="5"/>
    </row>
    <row r="68" spans="1:12" customHeight="1" ht="105" outlineLevel="4">
      <c r="A68" s="1"/>
      <c r="B68" s="1">
        <v>929819</v>
      </c>
      <c r="C68" s="1" t="s">
        <v>206</v>
      </c>
      <c r="D68" s="1"/>
      <c r="E68" s="2" t="s">
        <v>207</v>
      </c>
      <c r="F68" s="2" t="s">
        <v>208</v>
      </c>
      <c r="G68" s="2">
        <v>0</v>
      </c>
      <c r="H68" s="2">
        <v>0</v>
      </c>
      <c r="I68" s="1">
        <v>0</v>
      </c>
      <c r="J68" s="3" t="s">
        <v>17</v>
      </c>
      <c r="K68" s="2" t="str">
        <f>J68*141.70</f>
        <v>0</v>
      </c>
      <c r="L68" s="5"/>
    </row>
    <row r="69" spans="1:12" customHeight="1" ht="105" outlineLevel="4">
      <c r="A69" s="1"/>
      <c r="B69" s="1">
        <v>929820</v>
      </c>
      <c r="C69" s="1" t="s">
        <v>209</v>
      </c>
      <c r="D69" s="1"/>
      <c r="E69" s="2" t="s">
        <v>210</v>
      </c>
      <c r="F69" s="2" t="s">
        <v>211</v>
      </c>
      <c r="G69" s="2" t="s">
        <v>82</v>
      </c>
      <c r="H69" s="2">
        <v>0</v>
      </c>
      <c r="I69" s="1">
        <v>0</v>
      </c>
      <c r="J69" s="3" t="s">
        <v>17</v>
      </c>
      <c r="K69" s="2" t="str">
        <f>J69*144.50</f>
        <v>0</v>
      </c>
      <c r="L69" s="5"/>
    </row>
    <row r="70" spans="1:12" customHeight="1" ht="105" outlineLevel="4">
      <c r="A70" s="1"/>
      <c r="B70" s="1">
        <v>929821</v>
      </c>
      <c r="C70" s="1" t="s">
        <v>212</v>
      </c>
      <c r="D70" s="1"/>
      <c r="E70" s="2" t="s">
        <v>213</v>
      </c>
      <c r="F70" s="2" t="s">
        <v>214</v>
      </c>
      <c r="G70" s="2">
        <v>7</v>
      </c>
      <c r="H70" s="2">
        <v>0</v>
      </c>
      <c r="I70" s="1">
        <v>0</v>
      </c>
      <c r="J70" s="3" t="s">
        <v>17</v>
      </c>
      <c r="K70" s="2" t="str">
        <f>J70*299.38</f>
        <v>0</v>
      </c>
      <c r="L70" s="5"/>
    </row>
    <row r="71" spans="1:12" customHeight="1" ht="105" outlineLevel="4">
      <c r="A71" s="1"/>
      <c r="B71" s="1">
        <v>929822</v>
      </c>
      <c r="C71" s="1" t="s">
        <v>215</v>
      </c>
      <c r="D71" s="1"/>
      <c r="E71" s="2" t="s">
        <v>216</v>
      </c>
      <c r="F71" s="2" t="s">
        <v>217</v>
      </c>
      <c r="G71" s="2">
        <v>8</v>
      </c>
      <c r="H71" s="2">
        <v>0</v>
      </c>
      <c r="I71" s="1">
        <v>0</v>
      </c>
      <c r="J71" s="3" t="s">
        <v>17</v>
      </c>
      <c r="K71" s="2" t="str">
        <f>J71*340.20</f>
        <v>0</v>
      </c>
      <c r="L71" s="5"/>
    </row>
    <row r="72" spans="1:12" customHeight="1" ht="105" outlineLevel="4">
      <c r="A72" s="1"/>
      <c r="B72" s="1">
        <v>929823</v>
      </c>
      <c r="C72" s="1" t="s">
        <v>218</v>
      </c>
      <c r="D72" s="1"/>
      <c r="E72" s="2" t="s">
        <v>219</v>
      </c>
      <c r="F72" s="2" t="s">
        <v>220</v>
      </c>
      <c r="G72" s="2" t="s">
        <v>21</v>
      </c>
      <c r="H72" s="2">
        <v>0</v>
      </c>
      <c r="I72" s="1">
        <v>0</v>
      </c>
      <c r="J72" s="3" t="s">
        <v>17</v>
      </c>
      <c r="K72" s="2" t="str">
        <f>J72*99.00</f>
        <v>0</v>
      </c>
      <c r="L72" s="5"/>
    </row>
    <row r="73" spans="1:12" customHeight="1" ht="105" outlineLevel="4">
      <c r="A73" s="1"/>
      <c r="B73" s="1">
        <v>929824</v>
      </c>
      <c r="C73" s="1" t="s">
        <v>221</v>
      </c>
      <c r="D73" s="1"/>
      <c r="E73" s="2" t="s">
        <v>222</v>
      </c>
      <c r="F73" s="2" t="s">
        <v>223</v>
      </c>
      <c r="G73" s="2" t="s">
        <v>16</v>
      </c>
      <c r="H73" s="2">
        <v>0</v>
      </c>
      <c r="I73" s="1">
        <v>0</v>
      </c>
      <c r="J73" s="3" t="s">
        <v>17</v>
      </c>
      <c r="K73" s="2" t="str">
        <f>J73*113.62</f>
        <v>0</v>
      </c>
      <c r="L73" s="5"/>
    </row>
    <row r="74" spans="1:12" customHeight="1" ht="105" outlineLevel="4">
      <c r="A74" s="1"/>
      <c r="B74" s="1">
        <v>929825</v>
      </c>
      <c r="C74" s="1" t="s">
        <v>224</v>
      </c>
      <c r="D74" s="1"/>
      <c r="E74" s="2" t="s">
        <v>225</v>
      </c>
      <c r="F74" s="2" t="s">
        <v>226</v>
      </c>
      <c r="G74" s="2" t="s">
        <v>16</v>
      </c>
      <c r="H74" s="2">
        <v>0</v>
      </c>
      <c r="I74" s="1">
        <v>0</v>
      </c>
      <c r="J74" s="3" t="s">
        <v>17</v>
      </c>
      <c r="K74" s="2" t="str">
        <f>J74*89.64</f>
        <v>0</v>
      </c>
      <c r="L74" s="5"/>
    </row>
    <row r="75" spans="1:12" customHeight="1" ht="105" outlineLevel="4">
      <c r="A75" s="1"/>
      <c r="B75" s="1">
        <v>929826</v>
      </c>
      <c r="C75" s="1" t="s">
        <v>227</v>
      </c>
      <c r="D75" s="1"/>
      <c r="E75" s="2" t="s">
        <v>228</v>
      </c>
      <c r="F75" s="2" t="s">
        <v>229</v>
      </c>
      <c r="G75" s="2" t="s">
        <v>16</v>
      </c>
      <c r="H75" s="2">
        <v>0</v>
      </c>
      <c r="I75" s="1">
        <v>0</v>
      </c>
      <c r="J75" s="3" t="s">
        <v>17</v>
      </c>
      <c r="K75" s="2" t="str">
        <f>J75*133.70</f>
        <v>0</v>
      </c>
      <c r="L75" s="5"/>
    </row>
    <row r="76" spans="1:12" customHeight="1" ht="105" outlineLevel="4">
      <c r="A76" s="1"/>
      <c r="B76" s="1">
        <v>929827</v>
      </c>
      <c r="C76" s="1" t="s">
        <v>230</v>
      </c>
      <c r="D76" s="1" t="s">
        <v>231</v>
      </c>
      <c r="E76" s="2" t="s">
        <v>232</v>
      </c>
      <c r="F76" s="2" t="s">
        <v>233</v>
      </c>
      <c r="G76" s="2" t="s">
        <v>16</v>
      </c>
      <c r="H76" s="2">
        <v>0</v>
      </c>
      <c r="I76" s="1">
        <v>0</v>
      </c>
      <c r="J76" s="3" t="s">
        <v>17</v>
      </c>
      <c r="K76" s="2" t="str">
        <f>J76*87.05</f>
        <v>0</v>
      </c>
      <c r="L76" s="5"/>
    </row>
    <row r="77" spans="1:12" customHeight="1" ht="105" outlineLevel="4">
      <c r="A77" s="1"/>
      <c r="B77" s="1">
        <v>929828</v>
      </c>
      <c r="C77" s="1" t="s">
        <v>234</v>
      </c>
      <c r="D77" s="1"/>
      <c r="E77" s="2" t="s">
        <v>235</v>
      </c>
      <c r="F77" s="2" t="s">
        <v>236</v>
      </c>
      <c r="G77" s="2" t="s">
        <v>34</v>
      </c>
      <c r="H77" s="2">
        <v>0</v>
      </c>
      <c r="I77" s="1">
        <v>0</v>
      </c>
      <c r="J77" s="3" t="s">
        <v>17</v>
      </c>
      <c r="K77" s="2" t="str">
        <f>J77*115.56</f>
        <v>0</v>
      </c>
      <c r="L77" s="5"/>
    </row>
    <row r="78" spans="1:12" customHeight="1" ht="105" outlineLevel="4">
      <c r="A78" s="1"/>
      <c r="B78" s="1">
        <v>929829</v>
      </c>
      <c r="C78" s="1" t="s">
        <v>237</v>
      </c>
      <c r="D78" s="1"/>
      <c r="E78" s="2" t="s">
        <v>238</v>
      </c>
      <c r="F78" s="2" t="s">
        <v>239</v>
      </c>
      <c r="G78" s="2" t="s">
        <v>16</v>
      </c>
      <c r="H78" s="2">
        <v>0</v>
      </c>
      <c r="I78" s="1">
        <v>0</v>
      </c>
      <c r="J78" s="3" t="s">
        <v>17</v>
      </c>
      <c r="K78" s="2" t="str">
        <f>J78*198.50</f>
        <v>0</v>
      </c>
      <c r="L78" s="5"/>
    </row>
    <row r="79" spans="1:12" customHeight="1" ht="105" outlineLevel="4">
      <c r="A79" s="1"/>
      <c r="B79" s="1">
        <v>929830</v>
      </c>
      <c r="C79" s="1" t="s">
        <v>240</v>
      </c>
      <c r="D79" s="1"/>
      <c r="E79" s="2" t="s">
        <v>241</v>
      </c>
      <c r="F79" s="2" t="s">
        <v>242</v>
      </c>
      <c r="G79" s="2" t="s">
        <v>21</v>
      </c>
      <c r="H79" s="2">
        <v>0</v>
      </c>
      <c r="I79" s="1">
        <v>0</v>
      </c>
      <c r="J79" s="3" t="s">
        <v>17</v>
      </c>
      <c r="K79" s="2" t="str">
        <f>J79*125.10</f>
        <v>0</v>
      </c>
      <c r="L79" s="5"/>
    </row>
    <row r="80" spans="1:12" customHeight="1" ht="105" outlineLevel="4">
      <c r="A80" s="1"/>
      <c r="B80" s="1">
        <v>929831</v>
      </c>
      <c r="C80" s="1" t="s">
        <v>243</v>
      </c>
      <c r="D80" s="1"/>
      <c r="E80" s="2" t="s">
        <v>244</v>
      </c>
      <c r="F80" s="2" t="s">
        <v>245</v>
      </c>
      <c r="G80" s="2" t="s">
        <v>34</v>
      </c>
      <c r="H80" s="2">
        <v>0</v>
      </c>
      <c r="I80" s="1">
        <v>0</v>
      </c>
      <c r="J80" s="3" t="s">
        <v>17</v>
      </c>
      <c r="K80" s="2" t="str">
        <f>J80*160.56</f>
        <v>0</v>
      </c>
      <c r="L80" s="5"/>
    </row>
    <row r="81" spans="1:12" customHeight="1" ht="105" outlineLevel="4">
      <c r="A81" s="1"/>
      <c r="B81" s="1">
        <v>929832</v>
      </c>
      <c r="C81" s="1" t="s">
        <v>246</v>
      </c>
      <c r="D81" s="1"/>
      <c r="E81" s="2" t="s">
        <v>247</v>
      </c>
      <c r="F81" s="2" t="s">
        <v>248</v>
      </c>
      <c r="G81" s="2" t="s">
        <v>16</v>
      </c>
      <c r="H81" s="2">
        <v>0</v>
      </c>
      <c r="I81" s="1">
        <v>0</v>
      </c>
      <c r="J81" s="3" t="s">
        <v>17</v>
      </c>
      <c r="K81" s="2" t="str">
        <f>J81*99.14</f>
        <v>0</v>
      </c>
      <c r="L81" s="5"/>
    </row>
    <row r="82" spans="1:12" customHeight="1" ht="105" outlineLevel="4">
      <c r="A82" s="1"/>
      <c r="B82" s="1">
        <v>929833</v>
      </c>
      <c r="C82" s="1" t="s">
        <v>249</v>
      </c>
      <c r="D82" s="1"/>
      <c r="E82" s="2" t="s">
        <v>250</v>
      </c>
      <c r="F82" s="2" t="s">
        <v>251</v>
      </c>
      <c r="G82" s="2" t="s">
        <v>16</v>
      </c>
      <c r="H82" s="2">
        <v>0</v>
      </c>
      <c r="I82" s="1">
        <v>0</v>
      </c>
      <c r="J82" s="3" t="s">
        <v>17</v>
      </c>
      <c r="K82" s="2" t="str">
        <f>J82*170.54</f>
        <v>0</v>
      </c>
      <c r="L82" s="5"/>
    </row>
    <row r="83" spans="1:12" customHeight="1" ht="105" outlineLevel="4">
      <c r="A83" s="1"/>
      <c r="B83" s="1">
        <v>929834</v>
      </c>
      <c r="C83" s="1" t="s">
        <v>252</v>
      </c>
      <c r="D83" s="1" t="s">
        <v>253</v>
      </c>
      <c r="E83" s="2" t="s">
        <v>254</v>
      </c>
      <c r="F83" s="2" t="s">
        <v>255</v>
      </c>
      <c r="G83" s="2" t="s">
        <v>34</v>
      </c>
      <c r="H83" s="2">
        <v>0</v>
      </c>
      <c r="I83" s="1">
        <v>0</v>
      </c>
      <c r="J83" s="3" t="s">
        <v>17</v>
      </c>
      <c r="K83" s="2" t="str">
        <f>J83*132.84</f>
        <v>0</v>
      </c>
      <c r="L83" s="5"/>
    </row>
    <row r="84" spans="1:12" customHeight="1" ht="105" outlineLevel="4">
      <c r="A84" s="1"/>
      <c r="B84" s="1">
        <v>929835</v>
      </c>
      <c r="C84" s="1" t="s">
        <v>256</v>
      </c>
      <c r="D84" s="1"/>
      <c r="E84" s="2" t="s">
        <v>257</v>
      </c>
      <c r="F84" s="2" t="s">
        <v>258</v>
      </c>
      <c r="G84" s="2" t="s">
        <v>69</v>
      </c>
      <c r="H84" s="2">
        <v>0</v>
      </c>
      <c r="I84" s="1">
        <v>0</v>
      </c>
      <c r="J84" s="3" t="s">
        <v>17</v>
      </c>
      <c r="K84" s="2" t="str">
        <f>J84*146.45</f>
        <v>0</v>
      </c>
      <c r="L84" s="5"/>
    </row>
    <row r="85" spans="1:12" customHeight="1" ht="105" outlineLevel="4">
      <c r="A85" s="1"/>
      <c r="B85" s="1">
        <v>929836</v>
      </c>
      <c r="C85" s="1" t="s">
        <v>259</v>
      </c>
      <c r="D85" s="1"/>
      <c r="E85" s="2" t="s">
        <v>260</v>
      </c>
      <c r="F85" s="2" t="s">
        <v>261</v>
      </c>
      <c r="G85" s="2" t="s">
        <v>16</v>
      </c>
      <c r="H85" s="2">
        <v>0</v>
      </c>
      <c r="I85" s="1">
        <v>0</v>
      </c>
      <c r="J85" s="3" t="s">
        <v>17</v>
      </c>
      <c r="K85" s="2" t="str">
        <f>J85*271.97</f>
        <v>0</v>
      </c>
      <c r="L85" s="5"/>
    </row>
    <row r="86" spans="1:12" customHeight="1" ht="105" outlineLevel="4">
      <c r="A86" s="1"/>
      <c r="B86" s="1">
        <v>929837</v>
      </c>
      <c r="C86" s="1" t="s">
        <v>262</v>
      </c>
      <c r="D86" s="1"/>
      <c r="E86" s="2" t="s">
        <v>263</v>
      </c>
      <c r="F86" s="2" t="s">
        <v>264</v>
      </c>
      <c r="G86" s="2">
        <v>0</v>
      </c>
      <c r="H86" s="2">
        <v>0</v>
      </c>
      <c r="I86" s="1">
        <v>0</v>
      </c>
      <c r="J86" s="3" t="s">
        <v>17</v>
      </c>
      <c r="K86" s="2" t="str">
        <f>J86*462.06</f>
        <v>0</v>
      </c>
      <c r="L86" s="5"/>
    </row>
    <row r="87" spans="1:12" customHeight="1" ht="105" outlineLevel="4">
      <c r="A87" s="1"/>
      <c r="B87" s="1">
        <v>929838</v>
      </c>
      <c r="C87" s="1" t="s">
        <v>265</v>
      </c>
      <c r="D87" s="1"/>
      <c r="E87" s="2" t="s">
        <v>266</v>
      </c>
      <c r="F87" s="2" t="s">
        <v>267</v>
      </c>
      <c r="G87" s="2">
        <v>7</v>
      </c>
      <c r="H87" s="2">
        <v>0</v>
      </c>
      <c r="I87" s="1">
        <v>0</v>
      </c>
      <c r="J87" s="3" t="s">
        <v>17</v>
      </c>
      <c r="K87" s="2" t="str">
        <f>J87*654.84</f>
        <v>0</v>
      </c>
      <c r="L87" s="5"/>
    </row>
    <row r="88" spans="1:12" customHeight="1" ht="105" outlineLevel="4">
      <c r="A88" s="1"/>
      <c r="B88" s="1">
        <v>929839</v>
      </c>
      <c r="C88" s="1" t="s">
        <v>268</v>
      </c>
      <c r="D88" s="1"/>
      <c r="E88" s="2" t="s">
        <v>269</v>
      </c>
      <c r="F88" s="2" t="s">
        <v>270</v>
      </c>
      <c r="G88" s="2" t="s">
        <v>82</v>
      </c>
      <c r="H88" s="2">
        <v>0</v>
      </c>
      <c r="I88" s="1">
        <v>0</v>
      </c>
      <c r="J88" s="3" t="s">
        <v>17</v>
      </c>
      <c r="K88" s="2" t="str">
        <f>J88*519.26</f>
        <v>0</v>
      </c>
      <c r="L88" s="5"/>
    </row>
    <row r="89" spans="1:12" customHeight="1" ht="105" outlineLevel="4">
      <c r="A89" s="1"/>
      <c r="B89" s="1">
        <v>929840</v>
      </c>
      <c r="C89" s="1" t="s">
        <v>271</v>
      </c>
      <c r="D89" s="1"/>
      <c r="E89" s="2" t="s">
        <v>272</v>
      </c>
      <c r="F89" s="2" t="s">
        <v>273</v>
      </c>
      <c r="G89" s="2" t="s">
        <v>82</v>
      </c>
      <c r="H89" s="2">
        <v>0</v>
      </c>
      <c r="I89" s="1">
        <v>0</v>
      </c>
      <c r="J89" s="3" t="s">
        <v>17</v>
      </c>
      <c r="K89" s="2" t="str">
        <f>J89*706.10</f>
        <v>0</v>
      </c>
      <c r="L89" s="5"/>
    </row>
    <row r="90" spans="1:12" customHeight="1" ht="105" outlineLevel="4">
      <c r="A90" s="1"/>
      <c r="B90" s="1">
        <v>929841</v>
      </c>
      <c r="C90" s="1" t="s">
        <v>274</v>
      </c>
      <c r="D90" s="1"/>
      <c r="E90" s="2" t="s">
        <v>275</v>
      </c>
      <c r="F90" s="2" t="s">
        <v>276</v>
      </c>
      <c r="G90" s="2">
        <v>9</v>
      </c>
      <c r="H90" s="2">
        <v>0</v>
      </c>
      <c r="I90" s="1">
        <v>0</v>
      </c>
      <c r="J90" s="3" t="s">
        <v>17</v>
      </c>
      <c r="K90" s="2" t="str">
        <f>J90*1056.89</f>
        <v>0</v>
      </c>
      <c r="L90" s="5"/>
    </row>
    <row r="91" spans="1:12" customHeight="1" ht="105" outlineLevel="4">
      <c r="A91" s="1"/>
      <c r="B91" s="1">
        <v>929842</v>
      </c>
      <c r="C91" s="1" t="s">
        <v>277</v>
      </c>
      <c r="D91" s="1"/>
      <c r="E91" s="2" t="s">
        <v>278</v>
      </c>
      <c r="F91" s="2" t="s">
        <v>279</v>
      </c>
      <c r="G91" s="2">
        <v>0</v>
      </c>
      <c r="H91" s="2">
        <v>0</v>
      </c>
      <c r="I91" s="1">
        <v>0</v>
      </c>
      <c r="J91" s="3" t="s">
        <v>17</v>
      </c>
      <c r="K91" s="2" t="str">
        <f>J91*2115.50</f>
        <v>0</v>
      </c>
      <c r="L91" s="5"/>
    </row>
    <row r="92" spans="1:12" customHeight="1" ht="105" outlineLevel="4">
      <c r="A92" s="1"/>
      <c r="B92" s="1">
        <v>929843</v>
      </c>
      <c r="C92" s="1" t="s">
        <v>280</v>
      </c>
      <c r="D92" s="1"/>
      <c r="E92" s="2" t="s">
        <v>281</v>
      </c>
      <c r="F92" s="2" t="s">
        <v>282</v>
      </c>
      <c r="G92" s="2">
        <v>0</v>
      </c>
      <c r="H92" s="2">
        <v>0</v>
      </c>
      <c r="I92" s="1">
        <v>0</v>
      </c>
      <c r="J92" s="3" t="s">
        <v>17</v>
      </c>
      <c r="K92" s="2" t="str">
        <f>J92*3649.05</f>
        <v>0</v>
      </c>
      <c r="L92" s="5"/>
    </row>
    <row r="93" spans="1:12" customHeight="1" ht="105" outlineLevel="4">
      <c r="A93" s="1"/>
      <c r="B93" s="1">
        <v>929844</v>
      </c>
      <c r="C93" s="1" t="s">
        <v>283</v>
      </c>
      <c r="D93" s="1"/>
      <c r="E93" s="2" t="s">
        <v>284</v>
      </c>
      <c r="F93" s="2" t="s">
        <v>285</v>
      </c>
      <c r="G93" s="2">
        <v>0</v>
      </c>
      <c r="H93" s="2">
        <v>0</v>
      </c>
      <c r="I93" s="1">
        <v>0</v>
      </c>
      <c r="J93" s="3" t="s">
        <v>17</v>
      </c>
      <c r="K93" s="2" t="str">
        <f>J93*5413.14</f>
        <v>0</v>
      </c>
      <c r="L93" s="5"/>
    </row>
    <row r="94" spans="1:12" customHeight="1" ht="105" outlineLevel="4">
      <c r="A94" s="1"/>
      <c r="B94" s="1">
        <v>929845</v>
      </c>
      <c r="C94" s="1" t="s">
        <v>286</v>
      </c>
      <c r="D94" s="1"/>
      <c r="E94" s="2" t="s">
        <v>287</v>
      </c>
      <c r="F94" s="2" t="s">
        <v>288</v>
      </c>
      <c r="G94" s="2">
        <v>0</v>
      </c>
      <c r="H94" s="2">
        <v>0</v>
      </c>
      <c r="I94" s="1">
        <v>0</v>
      </c>
      <c r="J94" s="3" t="s">
        <v>17</v>
      </c>
      <c r="K94" s="2" t="str">
        <f>J94*520.20</f>
        <v>0</v>
      </c>
      <c r="L94" s="5"/>
    </row>
    <row r="95" spans="1:12" customHeight="1" ht="105" outlineLevel="4">
      <c r="A95" s="1"/>
      <c r="B95" s="1">
        <v>929846</v>
      </c>
      <c r="C95" s="1" t="s">
        <v>289</v>
      </c>
      <c r="D95" s="1"/>
      <c r="E95" s="2" t="s">
        <v>290</v>
      </c>
      <c r="F95" s="2" t="s">
        <v>291</v>
      </c>
      <c r="G95" s="2" t="s">
        <v>82</v>
      </c>
      <c r="H95" s="2">
        <v>0</v>
      </c>
      <c r="I95" s="1">
        <v>0</v>
      </c>
      <c r="J95" s="3" t="s">
        <v>17</v>
      </c>
      <c r="K95" s="2" t="str">
        <f>J95*664.02</f>
        <v>0</v>
      </c>
      <c r="L95" s="5"/>
    </row>
    <row r="96" spans="1:12" customHeight="1" ht="105" outlineLevel="4">
      <c r="A96" s="1"/>
      <c r="B96" s="1">
        <v>929847</v>
      </c>
      <c r="C96" s="1" t="s">
        <v>292</v>
      </c>
      <c r="D96" s="1"/>
      <c r="E96" s="2" t="s">
        <v>293</v>
      </c>
      <c r="F96" s="2" t="s">
        <v>294</v>
      </c>
      <c r="G96" s="2" t="s">
        <v>82</v>
      </c>
      <c r="H96" s="2">
        <v>0</v>
      </c>
      <c r="I96" s="1">
        <v>0</v>
      </c>
      <c r="J96" s="3" t="s">
        <v>17</v>
      </c>
      <c r="K96" s="2" t="str">
        <f>J96*600.26</f>
        <v>0</v>
      </c>
      <c r="L96" s="5"/>
    </row>
    <row r="97" spans="1:12" customHeight="1" ht="105" outlineLevel="4">
      <c r="A97" s="1"/>
      <c r="B97" s="1">
        <v>929848</v>
      </c>
      <c r="C97" s="1" t="s">
        <v>295</v>
      </c>
      <c r="D97" s="1"/>
      <c r="E97" s="2" t="s">
        <v>296</v>
      </c>
      <c r="F97" s="2" t="s">
        <v>297</v>
      </c>
      <c r="G97" s="2" t="s">
        <v>82</v>
      </c>
      <c r="H97" s="2">
        <v>0</v>
      </c>
      <c r="I97" s="1">
        <v>0</v>
      </c>
      <c r="J97" s="3" t="s">
        <v>17</v>
      </c>
      <c r="K97" s="2" t="str">
        <f>J97*767.45</f>
        <v>0</v>
      </c>
      <c r="L97" s="5"/>
    </row>
    <row r="98" spans="1:12" customHeight="1" ht="105" outlineLevel="4">
      <c r="A98" s="1"/>
      <c r="B98" s="1">
        <v>929849</v>
      </c>
      <c r="C98" s="1" t="s">
        <v>298</v>
      </c>
      <c r="D98" s="1"/>
      <c r="E98" s="2" t="s">
        <v>299</v>
      </c>
      <c r="F98" s="2" t="s">
        <v>300</v>
      </c>
      <c r="G98" s="2" t="s">
        <v>82</v>
      </c>
      <c r="H98" s="2">
        <v>0</v>
      </c>
      <c r="I98" s="1">
        <v>0</v>
      </c>
      <c r="J98" s="3" t="s">
        <v>17</v>
      </c>
      <c r="K98" s="2" t="str">
        <f>J98*1459.08</f>
        <v>0</v>
      </c>
      <c r="L98" s="5"/>
    </row>
    <row r="99" spans="1:12" customHeight="1" ht="105" outlineLevel="4">
      <c r="A99" s="1"/>
      <c r="B99" s="1">
        <v>929850</v>
      </c>
      <c r="C99" s="1" t="s">
        <v>301</v>
      </c>
      <c r="D99" s="1"/>
      <c r="E99" s="2" t="s">
        <v>302</v>
      </c>
      <c r="F99" s="2" t="s">
        <v>303</v>
      </c>
      <c r="G99" s="2">
        <v>0</v>
      </c>
      <c r="H99" s="2">
        <v>0</v>
      </c>
      <c r="I99" s="1">
        <v>0</v>
      </c>
      <c r="J99" s="3" t="s">
        <v>17</v>
      </c>
      <c r="K99" s="2" t="str">
        <f>J99*2533.90</f>
        <v>0</v>
      </c>
      <c r="L99" s="5"/>
    </row>
    <row r="100" spans="1:12" customHeight="1" ht="105" outlineLevel="4">
      <c r="A100" s="1"/>
      <c r="B100" s="1">
        <v>929851</v>
      </c>
      <c r="C100" s="1" t="s">
        <v>304</v>
      </c>
      <c r="D100" s="1"/>
      <c r="E100" s="2" t="s">
        <v>305</v>
      </c>
      <c r="F100" s="2" t="s">
        <v>306</v>
      </c>
      <c r="G100" s="2">
        <v>0</v>
      </c>
      <c r="H100" s="2">
        <v>0</v>
      </c>
      <c r="I100" s="1">
        <v>0</v>
      </c>
      <c r="J100" s="3" t="s">
        <v>17</v>
      </c>
      <c r="K100" s="2" t="str">
        <f>J100*4941.90</f>
        <v>0</v>
      </c>
      <c r="L100" s="5"/>
    </row>
    <row r="101" spans="1:12" customHeight="1" ht="105" outlineLevel="4">
      <c r="A101" s="1"/>
      <c r="B101" s="1">
        <v>929852</v>
      </c>
      <c r="C101" s="1" t="s">
        <v>307</v>
      </c>
      <c r="D101" s="1"/>
      <c r="E101" s="2" t="s">
        <v>308</v>
      </c>
      <c r="F101" s="2" t="s">
        <v>309</v>
      </c>
      <c r="G101" s="2">
        <v>0</v>
      </c>
      <c r="H101" s="2">
        <v>0</v>
      </c>
      <c r="I101" s="1">
        <v>0</v>
      </c>
      <c r="J101" s="3" t="s">
        <v>17</v>
      </c>
      <c r="K101" s="2" t="str">
        <f>J101*7718.85</f>
        <v>0</v>
      </c>
      <c r="L101" s="5"/>
    </row>
    <row r="102" spans="1:12" customHeight="1" ht="105" outlineLevel="4">
      <c r="A102" s="1"/>
      <c r="B102" s="1">
        <v>929853</v>
      </c>
      <c r="C102" s="1" t="s">
        <v>310</v>
      </c>
      <c r="D102" s="1" t="s">
        <v>311</v>
      </c>
      <c r="E102" s="2" t="s">
        <v>312</v>
      </c>
      <c r="F102" s="2" t="s">
        <v>313</v>
      </c>
      <c r="G102" s="2" t="s">
        <v>34</v>
      </c>
      <c r="H102" s="2">
        <v>0</v>
      </c>
      <c r="I102" s="1">
        <v>0</v>
      </c>
      <c r="J102" s="3" t="s">
        <v>17</v>
      </c>
      <c r="K102" s="2" t="str">
        <f>J102*275.40</f>
        <v>0</v>
      </c>
      <c r="L102" s="5"/>
    </row>
    <row r="103" spans="1:12" customHeight="1" ht="105" outlineLevel="4">
      <c r="A103" s="1"/>
      <c r="B103" s="1">
        <v>929854</v>
      </c>
      <c r="C103" s="1" t="s">
        <v>314</v>
      </c>
      <c r="D103" s="1" t="s">
        <v>315</v>
      </c>
      <c r="E103" s="2" t="s">
        <v>316</v>
      </c>
      <c r="F103" s="2" t="s">
        <v>317</v>
      </c>
      <c r="G103" s="2" t="s">
        <v>34</v>
      </c>
      <c r="H103" s="2">
        <v>0</v>
      </c>
      <c r="I103" s="1">
        <v>0</v>
      </c>
      <c r="J103" s="3" t="s">
        <v>17</v>
      </c>
      <c r="K103" s="2" t="str">
        <f>J103*261.63</f>
        <v>0</v>
      </c>
      <c r="L103" s="5"/>
    </row>
    <row r="104" spans="1:12" customHeight="1" ht="105" outlineLevel="4">
      <c r="A104" s="1"/>
      <c r="B104" s="1">
        <v>929855</v>
      </c>
      <c r="C104" s="1" t="s">
        <v>318</v>
      </c>
      <c r="D104" s="1" t="s">
        <v>319</v>
      </c>
      <c r="E104" s="2" t="s">
        <v>320</v>
      </c>
      <c r="F104" s="2" t="s">
        <v>321</v>
      </c>
      <c r="G104" s="2" t="s">
        <v>69</v>
      </c>
      <c r="H104" s="2">
        <v>0</v>
      </c>
      <c r="I104" s="1">
        <v>0</v>
      </c>
      <c r="J104" s="3" t="s">
        <v>17</v>
      </c>
      <c r="K104" s="2" t="str">
        <f>J104*501.84</f>
        <v>0</v>
      </c>
      <c r="L104" s="5"/>
    </row>
    <row r="105" spans="1:12" customHeight="1" ht="105" outlineLevel="4">
      <c r="A105" s="1"/>
      <c r="B105" s="1">
        <v>929856</v>
      </c>
      <c r="C105" s="1" t="s">
        <v>322</v>
      </c>
      <c r="D105" s="1" t="s">
        <v>323</v>
      </c>
      <c r="E105" s="2" t="s">
        <v>324</v>
      </c>
      <c r="F105" s="2" t="s">
        <v>325</v>
      </c>
      <c r="G105" s="2" t="s">
        <v>69</v>
      </c>
      <c r="H105" s="2">
        <v>0</v>
      </c>
      <c r="I105" s="1">
        <v>0</v>
      </c>
      <c r="J105" s="3" t="s">
        <v>17</v>
      </c>
      <c r="K105" s="2" t="str">
        <f>J105*411.57</f>
        <v>0</v>
      </c>
      <c r="L105" s="5"/>
    </row>
    <row r="106" spans="1:12" customHeight="1" ht="105" outlineLevel="4">
      <c r="A106" s="1"/>
      <c r="B106" s="1">
        <v>929857</v>
      </c>
      <c r="C106" s="1" t="s">
        <v>326</v>
      </c>
      <c r="D106" s="1" t="s">
        <v>327</v>
      </c>
      <c r="E106" s="2" t="s">
        <v>328</v>
      </c>
      <c r="F106" s="2" t="s">
        <v>329</v>
      </c>
      <c r="G106" s="2" t="s">
        <v>34</v>
      </c>
      <c r="H106" s="2">
        <v>0</v>
      </c>
      <c r="I106" s="1">
        <v>0</v>
      </c>
      <c r="J106" s="3" t="s">
        <v>17</v>
      </c>
      <c r="K106" s="2" t="str">
        <f>J106*420.75</f>
        <v>0</v>
      </c>
      <c r="L106" s="5"/>
    </row>
    <row r="107" spans="1:12" customHeight="1" ht="105" outlineLevel="4">
      <c r="A107" s="1"/>
      <c r="B107" s="1">
        <v>929858</v>
      </c>
      <c r="C107" s="1" t="s">
        <v>330</v>
      </c>
      <c r="D107" s="1" t="s">
        <v>331</v>
      </c>
      <c r="E107" s="2" t="s">
        <v>332</v>
      </c>
      <c r="F107" s="2" t="s">
        <v>333</v>
      </c>
      <c r="G107" s="2" t="s">
        <v>82</v>
      </c>
      <c r="H107" s="2">
        <v>0</v>
      </c>
      <c r="I107" s="1">
        <v>0</v>
      </c>
      <c r="J107" s="3" t="s">
        <v>17</v>
      </c>
      <c r="K107" s="2" t="str">
        <f>J107*370.26</f>
        <v>0</v>
      </c>
      <c r="L107" s="5"/>
    </row>
    <row r="108" spans="1:12" customHeight="1" ht="105" outlineLevel="4">
      <c r="A108" s="1"/>
      <c r="B108" s="1">
        <v>929859</v>
      </c>
      <c r="C108" s="1" t="s">
        <v>334</v>
      </c>
      <c r="D108" s="1" t="s">
        <v>335</v>
      </c>
      <c r="E108" s="2" t="s">
        <v>336</v>
      </c>
      <c r="F108" s="2" t="s">
        <v>337</v>
      </c>
      <c r="G108" s="2" t="s">
        <v>34</v>
      </c>
      <c r="H108" s="2">
        <v>0</v>
      </c>
      <c r="I108" s="1">
        <v>0</v>
      </c>
      <c r="J108" s="3" t="s">
        <v>17</v>
      </c>
      <c r="K108" s="2" t="str">
        <f>J108*481.95</f>
        <v>0</v>
      </c>
      <c r="L108" s="5"/>
    </row>
    <row r="109" spans="1:12" customHeight="1" ht="105" outlineLevel="4">
      <c r="A109" s="1"/>
      <c r="B109" s="1">
        <v>929860</v>
      </c>
      <c r="C109" s="1" t="s">
        <v>338</v>
      </c>
      <c r="D109" s="1" t="s">
        <v>339</v>
      </c>
      <c r="E109" s="2" t="s">
        <v>340</v>
      </c>
      <c r="F109" s="2" t="s">
        <v>341</v>
      </c>
      <c r="G109" s="2" t="s">
        <v>34</v>
      </c>
      <c r="H109" s="2">
        <v>0</v>
      </c>
      <c r="I109" s="1">
        <v>0</v>
      </c>
      <c r="J109" s="3" t="s">
        <v>17</v>
      </c>
      <c r="K109" s="2" t="str">
        <f>J109*514.08</f>
        <v>0</v>
      </c>
      <c r="L109" s="5"/>
    </row>
    <row r="110" spans="1:12" customHeight="1" ht="105" outlineLevel="4">
      <c r="A110" s="1"/>
      <c r="B110" s="1">
        <v>929861</v>
      </c>
      <c r="C110" s="1" t="s">
        <v>342</v>
      </c>
      <c r="D110" s="1" t="s">
        <v>343</v>
      </c>
      <c r="E110" s="2" t="s">
        <v>344</v>
      </c>
      <c r="F110" s="2" t="s">
        <v>345</v>
      </c>
      <c r="G110" s="2" t="s">
        <v>82</v>
      </c>
      <c r="H110" s="2">
        <v>0</v>
      </c>
      <c r="I110" s="1">
        <v>0</v>
      </c>
      <c r="J110" s="3" t="s">
        <v>17</v>
      </c>
      <c r="K110" s="2" t="str">
        <f>J110*533.97</f>
        <v>0</v>
      </c>
      <c r="L110" s="5"/>
    </row>
    <row r="111" spans="1:12" customHeight="1" ht="105" outlineLevel="4">
      <c r="A111" s="1"/>
      <c r="B111" s="1">
        <v>929862</v>
      </c>
      <c r="C111" s="1" t="s">
        <v>346</v>
      </c>
      <c r="D111" s="1" t="s">
        <v>347</v>
      </c>
      <c r="E111" s="2" t="s">
        <v>348</v>
      </c>
      <c r="F111" s="2" t="s">
        <v>349</v>
      </c>
      <c r="G111" s="2" t="s">
        <v>82</v>
      </c>
      <c r="H111" s="2">
        <v>0</v>
      </c>
      <c r="I111" s="1">
        <v>0</v>
      </c>
      <c r="J111" s="3" t="s">
        <v>17</v>
      </c>
      <c r="K111" s="2" t="str">
        <f>J111*830.79</f>
        <v>0</v>
      </c>
      <c r="L111" s="5"/>
    </row>
    <row r="112" spans="1:12" customHeight="1" ht="105" outlineLevel="4">
      <c r="A112" s="1"/>
      <c r="B112" s="1">
        <v>929863</v>
      </c>
      <c r="C112" s="1" t="s">
        <v>350</v>
      </c>
      <c r="D112" s="1" t="s">
        <v>351</v>
      </c>
      <c r="E112" s="2" t="s">
        <v>352</v>
      </c>
      <c r="F112" s="2" t="s">
        <v>353</v>
      </c>
      <c r="G112" s="2" t="s">
        <v>82</v>
      </c>
      <c r="H112" s="2">
        <v>0</v>
      </c>
      <c r="I112" s="1">
        <v>0</v>
      </c>
      <c r="J112" s="3" t="s">
        <v>17</v>
      </c>
      <c r="K112" s="2" t="str">
        <f>J112*1580.49</f>
        <v>0</v>
      </c>
      <c r="L112" s="5"/>
    </row>
    <row r="113" spans="1:12" customHeight="1" ht="105" outlineLevel="4">
      <c r="A113" s="1"/>
      <c r="B113" s="1">
        <v>929864</v>
      </c>
      <c r="C113" s="1" t="s">
        <v>354</v>
      </c>
      <c r="D113" s="1" t="s">
        <v>355</v>
      </c>
      <c r="E113" s="2" t="s">
        <v>356</v>
      </c>
      <c r="F113" s="2" t="s">
        <v>357</v>
      </c>
      <c r="G113" s="2">
        <v>9</v>
      </c>
      <c r="H113" s="2">
        <v>0</v>
      </c>
      <c r="I113" s="1">
        <v>0</v>
      </c>
      <c r="J113" s="3" t="s">
        <v>17</v>
      </c>
      <c r="K113" s="2" t="str">
        <f>J113*2519.91</f>
        <v>0</v>
      </c>
      <c r="L113" s="5"/>
    </row>
    <row r="114" spans="1:12" customHeight="1" ht="105" outlineLevel="4">
      <c r="A114" s="1"/>
      <c r="B114" s="1">
        <v>929865</v>
      </c>
      <c r="C114" s="1" t="s">
        <v>358</v>
      </c>
      <c r="D114" s="1" t="s">
        <v>359</v>
      </c>
      <c r="E114" s="2" t="s">
        <v>360</v>
      </c>
      <c r="F114" s="2" t="s">
        <v>361</v>
      </c>
      <c r="G114" s="2">
        <v>1</v>
      </c>
      <c r="H114" s="2">
        <v>0</v>
      </c>
      <c r="I114" s="1">
        <v>0</v>
      </c>
      <c r="J114" s="3" t="s">
        <v>17</v>
      </c>
      <c r="K114" s="2" t="str">
        <f>J114*5491.17</f>
        <v>0</v>
      </c>
      <c r="L114" s="5"/>
    </row>
    <row r="115" spans="1:12" customHeight="1" ht="105" outlineLevel="4">
      <c r="A115" s="1"/>
      <c r="B115" s="1">
        <v>929866</v>
      </c>
      <c r="C115" s="1" t="s">
        <v>362</v>
      </c>
      <c r="D115" s="1" t="s">
        <v>363</v>
      </c>
      <c r="E115" s="2" t="s">
        <v>364</v>
      </c>
      <c r="F115" s="2" t="s">
        <v>365</v>
      </c>
      <c r="G115" s="2" t="s">
        <v>16</v>
      </c>
      <c r="H115" s="2">
        <v>0</v>
      </c>
      <c r="I115" s="1">
        <v>0</v>
      </c>
      <c r="J115" s="3" t="s">
        <v>17</v>
      </c>
      <c r="K115" s="2" t="str">
        <f>J115*284.58</f>
        <v>0</v>
      </c>
      <c r="L115" s="5"/>
    </row>
    <row r="116" spans="1:12" customHeight="1" ht="105" outlineLevel="4">
      <c r="A116" s="1"/>
      <c r="B116" s="1">
        <v>929867</v>
      </c>
      <c r="C116" s="1" t="s">
        <v>366</v>
      </c>
      <c r="D116" s="1" t="s">
        <v>367</v>
      </c>
      <c r="E116" s="2" t="s">
        <v>368</v>
      </c>
      <c r="F116" s="2" t="s">
        <v>369</v>
      </c>
      <c r="G116" s="2" t="s">
        <v>69</v>
      </c>
      <c r="H116" s="2">
        <v>0</v>
      </c>
      <c r="I116" s="1">
        <v>0</v>
      </c>
      <c r="J116" s="3" t="s">
        <v>17</v>
      </c>
      <c r="K116" s="2" t="str">
        <f>J116*286.11</f>
        <v>0</v>
      </c>
      <c r="L116" s="5"/>
    </row>
    <row r="117" spans="1:12" customHeight="1" ht="105" outlineLevel="4">
      <c r="A117" s="1"/>
      <c r="B117" s="1">
        <v>929868</v>
      </c>
      <c r="C117" s="1" t="s">
        <v>370</v>
      </c>
      <c r="D117" s="1" t="s">
        <v>371</v>
      </c>
      <c r="E117" s="2" t="s">
        <v>372</v>
      </c>
      <c r="F117" s="2" t="s">
        <v>373</v>
      </c>
      <c r="G117" s="2" t="s">
        <v>69</v>
      </c>
      <c r="H117" s="2">
        <v>0</v>
      </c>
      <c r="I117" s="1">
        <v>0</v>
      </c>
      <c r="J117" s="3" t="s">
        <v>17</v>
      </c>
      <c r="K117" s="2" t="str">
        <f>J117*507.96</f>
        <v>0</v>
      </c>
      <c r="L117" s="5"/>
    </row>
    <row r="118" spans="1:12" customHeight="1" ht="105" outlineLevel="4">
      <c r="A118" s="1"/>
      <c r="B118" s="1">
        <v>929869</v>
      </c>
      <c r="C118" s="1" t="s">
        <v>374</v>
      </c>
      <c r="D118" s="1" t="s">
        <v>375</v>
      </c>
      <c r="E118" s="2" t="s">
        <v>376</v>
      </c>
      <c r="F118" s="2" t="s">
        <v>377</v>
      </c>
      <c r="G118" s="2" t="s">
        <v>16</v>
      </c>
      <c r="H118" s="2">
        <v>0</v>
      </c>
      <c r="I118" s="1">
        <v>0</v>
      </c>
      <c r="J118" s="3" t="s">
        <v>17</v>
      </c>
      <c r="K118" s="2" t="str">
        <f>J118*406.98</f>
        <v>0</v>
      </c>
      <c r="L118" s="5"/>
    </row>
    <row r="119" spans="1:12" customHeight="1" ht="105" outlineLevel="4">
      <c r="A119" s="1"/>
      <c r="B119" s="1">
        <v>929870</v>
      </c>
      <c r="C119" s="1" t="s">
        <v>378</v>
      </c>
      <c r="D119" s="1" t="s">
        <v>379</v>
      </c>
      <c r="E119" s="2" t="s">
        <v>380</v>
      </c>
      <c r="F119" s="2" t="s">
        <v>381</v>
      </c>
      <c r="G119" s="2" t="s">
        <v>16</v>
      </c>
      <c r="H119" s="2">
        <v>0</v>
      </c>
      <c r="I119" s="1">
        <v>0</v>
      </c>
      <c r="J119" s="3" t="s">
        <v>17</v>
      </c>
      <c r="K119" s="2" t="str">
        <f>J119*457.47</f>
        <v>0</v>
      </c>
      <c r="L119" s="5"/>
    </row>
    <row r="120" spans="1:12" customHeight="1" ht="105" outlineLevel="4">
      <c r="A120" s="1"/>
      <c r="B120" s="1">
        <v>929871</v>
      </c>
      <c r="C120" s="1" t="s">
        <v>382</v>
      </c>
      <c r="D120" s="1" t="s">
        <v>383</v>
      </c>
      <c r="E120" s="2" t="s">
        <v>384</v>
      </c>
      <c r="F120" s="2" t="s">
        <v>385</v>
      </c>
      <c r="G120" s="2" t="s">
        <v>69</v>
      </c>
      <c r="H120" s="2">
        <v>0</v>
      </c>
      <c r="I120" s="1">
        <v>0</v>
      </c>
      <c r="J120" s="3" t="s">
        <v>17</v>
      </c>
      <c r="K120" s="2" t="str">
        <f>J120*454.41</f>
        <v>0</v>
      </c>
      <c r="L120" s="5"/>
    </row>
    <row r="121" spans="1:12" customHeight="1" ht="105" outlineLevel="4">
      <c r="A121" s="1"/>
      <c r="B121" s="1">
        <v>929872</v>
      </c>
      <c r="C121" s="1" t="s">
        <v>386</v>
      </c>
      <c r="D121" s="1" t="s">
        <v>387</v>
      </c>
      <c r="E121" s="2" t="s">
        <v>388</v>
      </c>
      <c r="F121" s="2" t="s">
        <v>389</v>
      </c>
      <c r="G121" s="2" t="s">
        <v>69</v>
      </c>
      <c r="H121" s="2">
        <v>0</v>
      </c>
      <c r="I121" s="1">
        <v>0</v>
      </c>
      <c r="J121" s="3" t="s">
        <v>17</v>
      </c>
      <c r="K121" s="2" t="str">
        <f>J121*555.39</f>
        <v>0</v>
      </c>
      <c r="L121" s="5"/>
    </row>
    <row r="122" spans="1:12" customHeight="1" ht="105" outlineLevel="4">
      <c r="A122" s="1"/>
      <c r="B122" s="1">
        <v>929873</v>
      </c>
      <c r="C122" s="1" t="s">
        <v>390</v>
      </c>
      <c r="D122" s="1" t="s">
        <v>391</v>
      </c>
      <c r="E122" s="2" t="s">
        <v>392</v>
      </c>
      <c r="F122" s="2" t="s">
        <v>393</v>
      </c>
      <c r="G122" s="2" t="s">
        <v>34</v>
      </c>
      <c r="H122" s="2">
        <v>0</v>
      </c>
      <c r="I122" s="1">
        <v>0</v>
      </c>
      <c r="J122" s="3" t="s">
        <v>17</v>
      </c>
      <c r="K122" s="2" t="str">
        <f>J122*538.56</f>
        <v>0</v>
      </c>
      <c r="L122" s="5"/>
    </row>
    <row r="123" spans="1:12" customHeight="1" ht="105" outlineLevel="4">
      <c r="A123" s="1"/>
      <c r="B123" s="1">
        <v>929874</v>
      </c>
      <c r="C123" s="1" t="s">
        <v>394</v>
      </c>
      <c r="D123" s="1" t="s">
        <v>395</v>
      </c>
      <c r="E123" s="2" t="s">
        <v>396</v>
      </c>
      <c r="F123" s="2" t="s">
        <v>397</v>
      </c>
      <c r="G123" s="2" t="s">
        <v>69</v>
      </c>
      <c r="H123" s="2">
        <v>0</v>
      </c>
      <c r="I123" s="1">
        <v>0</v>
      </c>
      <c r="J123" s="3" t="s">
        <v>17</v>
      </c>
      <c r="K123" s="2" t="str">
        <f>J123*699.21</f>
        <v>0</v>
      </c>
      <c r="L123" s="5"/>
    </row>
    <row r="124" spans="1:12" customHeight="1" ht="105" outlineLevel="4">
      <c r="A124" s="1"/>
      <c r="B124" s="1">
        <v>929875</v>
      </c>
      <c r="C124" s="1" t="s">
        <v>398</v>
      </c>
      <c r="D124" s="1" t="s">
        <v>399</v>
      </c>
      <c r="E124" s="2" t="s">
        <v>400</v>
      </c>
      <c r="F124" s="2" t="s">
        <v>401</v>
      </c>
      <c r="G124" s="2" t="s">
        <v>82</v>
      </c>
      <c r="H124" s="2">
        <v>0</v>
      </c>
      <c r="I124" s="1">
        <v>0</v>
      </c>
      <c r="J124" s="3" t="s">
        <v>17</v>
      </c>
      <c r="K124" s="2" t="str">
        <f>J124*956.25</f>
        <v>0</v>
      </c>
      <c r="L124" s="5"/>
    </row>
    <row r="125" spans="1:12" customHeight="1" ht="105" outlineLevel="4">
      <c r="A125" s="1"/>
      <c r="B125" s="1">
        <v>929876</v>
      </c>
      <c r="C125" s="1" t="s">
        <v>402</v>
      </c>
      <c r="D125" s="1" t="s">
        <v>403</v>
      </c>
      <c r="E125" s="2" t="s">
        <v>404</v>
      </c>
      <c r="F125" s="2" t="s">
        <v>405</v>
      </c>
      <c r="G125" s="2" t="s">
        <v>82</v>
      </c>
      <c r="H125" s="2">
        <v>0</v>
      </c>
      <c r="I125" s="1">
        <v>0</v>
      </c>
      <c r="J125" s="3" t="s">
        <v>17</v>
      </c>
      <c r="K125" s="2" t="str">
        <f>J125*1742.67</f>
        <v>0</v>
      </c>
      <c r="L125" s="5"/>
    </row>
    <row r="126" spans="1:12" customHeight="1" ht="105" outlineLevel="4">
      <c r="A126" s="1"/>
      <c r="B126" s="1">
        <v>929877</v>
      </c>
      <c r="C126" s="1" t="s">
        <v>406</v>
      </c>
      <c r="D126" s="1" t="s">
        <v>407</v>
      </c>
      <c r="E126" s="2" t="s">
        <v>408</v>
      </c>
      <c r="F126" s="2" t="s">
        <v>409</v>
      </c>
      <c r="G126" s="2" t="s">
        <v>82</v>
      </c>
      <c r="H126" s="2">
        <v>0</v>
      </c>
      <c r="I126" s="1">
        <v>0</v>
      </c>
      <c r="J126" s="3" t="s">
        <v>17</v>
      </c>
      <c r="K126" s="2" t="str">
        <f>J126*2783.07</f>
        <v>0</v>
      </c>
      <c r="L126" s="5"/>
    </row>
    <row r="127" spans="1:12" customHeight="1" ht="105" outlineLevel="4">
      <c r="A127" s="1"/>
      <c r="B127" s="1">
        <v>929878</v>
      </c>
      <c r="C127" s="1" t="s">
        <v>410</v>
      </c>
      <c r="D127" s="1" t="s">
        <v>411</v>
      </c>
      <c r="E127" s="2" t="s">
        <v>412</v>
      </c>
      <c r="F127" s="2" t="s">
        <v>413</v>
      </c>
      <c r="G127" s="2">
        <v>0</v>
      </c>
      <c r="H127" s="2">
        <v>0</v>
      </c>
      <c r="I127" s="1">
        <v>0</v>
      </c>
      <c r="J127" s="3" t="s">
        <v>17</v>
      </c>
      <c r="K127" s="2" t="str">
        <f>J127*6051.15</f>
        <v>0</v>
      </c>
      <c r="L127" s="5"/>
    </row>
    <row r="128" spans="1:12" customHeight="1" ht="105" outlineLevel="4">
      <c r="A128" s="1"/>
      <c r="B128" s="1">
        <v>929879</v>
      </c>
      <c r="C128" s="1" t="s">
        <v>414</v>
      </c>
      <c r="D128" s="1" t="s">
        <v>415</v>
      </c>
      <c r="E128" s="2" t="s">
        <v>416</v>
      </c>
      <c r="F128" s="2" t="s">
        <v>417</v>
      </c>
      <c r="G128" s="2" t="s">
        <v>16</v>
      </c>
      <c r="H128" s="2">
        <v>0</v>
      </c>
      <c r="I128" s="1">
        <v>0</v>
      </c>
      <c r="J128" s="3" t="s">
        <v>17</v>
      </c>
      <c r="K128" s="2" t="str">
        <f>J128*221.85</f>
        <v>0</v>
      </c>
      <c r="L128" s="5"/>
    </row>
    <row r="129" spans="1:12" customHeight="1" ht="105" outlineLevel="4">
      <c r="A129" s="1"/>
      <c r="B129" s="1">
        <v>929880</v>
      </c>
      <c r="C129" s="1" t="s">
        <v>418</v>
      </c>
      <c r="D129" s="1" t="s">
        <v>419</v>
      </c>
      <c r="E129" s="2" t="s">
        <v>420</v>
      </c>
      <c r="F129" s="2" t="s">
        <v>421</v>
      </c>
      <c r="G129" s="2" t="s">
        <v>34</v>
      </c>
      <c r="H129" s="2">
        <v>0</v>
      </c>
      <c r="I129" s="1">
        <v>0</v>
      </c>
      <c r="J129" s="3" t="s">
        <v>17</v>
      </c>
      <c r="K129" s="2" t="str">
        <f>J129*234.09</f>
        <v>0</v>
      </c>
      <c r="L129" s="5"/>
    </row>
    <row r="130" spans="1:12" customHeight="1" ht="105" outlineLevel="4">
      <c r="A130" s="1"/>
      <c r="B130" s="1">
        <v>929881</v>
      </c>
      <c r="C130" s="1" t="s">
        <v>422</v>
      </c>
      <c r="D130" s="1" t="s">
        <v>423</v>
      </c>
      <c r="E130" s="2" t="s">
        <v>424</v>
      </c>
      <c r="F130" s="2" t="s">
        <v>425</v>
      </c>
      <c r="G130" s="2" t="s">
        <v>82</v>
      </c>
      <c r="H130" s="2">
        <v>0</v>
      </c>
      <c r="I130" s="1">
        <v>0</v>
      </c>
      <c r="J130" s="3" t="s">
        <v>17</v>
      </c>
      <c r="K130" s="2" t="str">
        <f>J130*440.64</f>
        <v>0</v>
      </c>
      <c r="L130" s="5"/>
    </row>
    <row r="131" spans="1:12" customHeight="1" ht="105" outlineLevel="4">
      <c r="A131" s="1"/>
      <c r="B131" s="1">
        <v>929882</v>
      </c>
      <c r="C131" s="1" t="s">
        <v>426</v>
      </c>
      <c r="D131" s="1" t="s">
        <v>427</v>
      </c>
      <c r="E131" s="2" t="s">
        <v>428</v>
      </c>
      <c r="F131" s="2" t="s">
        <v>429</v>
      </c>
      <c r="G131" s="2" t="s">
        <v>69</v>
      </c>
      <c r="H131" s="2">
        <v>0</v>
      </c>
      <c r="I131" s="1">
        <v>0</v>
      </c>
      <c r="J131" s="3" t="s">
        <v>17</v>
      </c>
      <c r="K131" s="2" t="str">
        <f>J131*338.13</f>
        <v>0</v>
      </c>
      <c r="L131" s="5"/>
    </row>
    <row r="132" spans="1:12" customHeight="1" ht="105" outlineLevel="4">
      <c r="A132" s="1"/>
      <c r="B132" s="1">
        <v>929883</v>
      </c>
      <c r="C132" s="1" t="s">
        <v>430</v>
      </c>
      <c r="D132" s="1" t="s">
        <v>431</v>
      </c>
      <c r="E132" s="2" t="s">
        <v>432</v>
      </c>
      <c r="F132" s="2" t="s">
        <v>433</v>
      </c>
      <c r="G132" s="2" t="s">
        <v>16</v>
      </c>
      <c r="H132" s="2">
        <v>0</v>
      </c>
      <c r="I132" s="1">
        <v>0</v>
      </c>
      <c r="J132" s="3" t="s">
        <v>17</v>
      </c>
      <c r="K132" s="2" t="str">
        <f>J132*341.19</f>
        <v>0</v>
      </c>
      <c r="L132" s="5"/>
    </row>
    <row r="133" spans="1:12" customHeight="1" ht="105" outlineLevel="4">
      <c r="A133" s="1"/>
      <c r="B133" s="1">
        <v>929884</v>
      </c>
      <c r="C133" s="1" t="s">
        <v>434</v>
      </c>
      <c r="D133" s="1" t="s">
        <v>435</v>
      </c>
      <c r="E133" s="2" t="s">
        <v>436</v>
      </c>
      <c r="F133" s="2" t="s">
        <v>437</v>
      </c>
      <c r="G133" s="2" t="s">
        <v>34</v>
      </c>
      <c r="H133" s="2">
        <v>0</v>
      </c>
      <c r="I133" s="1">
        <v>0</v>
      </c>
      <c r="J133" s="3" t="s">
        <v>17</v>
      </c>
      <c r="K133" s="2" t="str">
        <f>J133*367.20</f>
        <v>0</v>
      </c>
      <c r="L133" s="5"/>
    </row>
    <row r="134" spans="1:12" customHeight="1" ht="105" outlineLevel="4">
      <c r="A134" s="1"/>
      <c r="B134" s="1">
        <v>929885</v>
      </c>
      <c r="C134" s="1" t="s">
        <v>438</v>
      </c>
      <c r="D134" s="1" t="s">
        <v>439</v>
      </c>
      <c r="E134" s="2" t="s">
        <v>440</v>
      </c>
      <c r="F134" s="2" t="s">
        <v>441</v>
      </c>
      <c r="G134" s="2" t="s">
        <v>82</v>
      </c>
      <c r="H134" s="2">
        <v>0</v>
      </c>
      <c r="I134" s="1">
        <v>0</v>
      </c>
      <c r="J134" s="3" t="s">
        <v>17</v>
      </c>
      <c r="K134" s="2" t="str">
        <f>J134*423.81</f>
        <v>0</v>
      </c>
      <c r="L134" s="5"/>
    </row>
    <row r="135" spans="1:12" customHeight="1" ht="105" outlineLevel="4">
      <c r="A135" s="1"/>
      <c r="B135" s="1">
        <v>929886</v>
      </c>
      <c r="C135" s="1" t="s">
        <v>442</v>
      </c>
      <c r="D135" s="1" t="s">
        <v>443</v>
      </c>
      <c r="E135" s="2" t="s">
        <v>444</v>
      </c>
      <c r="F135" s="2" t="s">
        <v>445</v>
      </c>
      <c r="G135" s="2" t="s">
        <v>69</v>
      </c>
      <c r="H135" s="2">
        <v>0</v>
      </c>
      <c r="I135" s="1">
        <v>0</v>
      </c>
      <c r="J135" s="3" t="s">
        <v>17</v>
      </c>
      <c r="K135" s="2" t="str">
        <f>J135*422.28</f>
        <v>0</v>
      </c>
      <c r="L135" s="5"/>
    </row>
    <row r="136" spans="1:12" customHeight="1" ht="105" outlineLevel="4">
      <c r="A136" s="1"/>
      <c r="B136" s="1">
        <v>929887</v>
      </c>
      <c r="C136" s="1" t="s">
        <v>446</v>
      </c>
      <c r="D136" s="1" t="s">
        <v>447</v>
      </c>
      <c r="E136" s="2" t="s">
        <v>448</v>
      </c>
      <c r="F136" s="2" t="s">
        <v>449</v>
      </c>
      <c r="G136" s="2" t="s">
        <v>82</v>
      </c>
      <c r="H136" s="2">
        <v>0</v>
      </c>
      <c r="I136" s="1">
        <v>0</v>
      </c>
      <c r="J136" s="3" t="s">
        <v>17</v>
      </c>
      <c r="K136" s="2" t="str">
        <f>J136*489.60</f>
        <v>0</v>
      </c>
      <c r="L136" s="5"/>
    </row>
    <row r="137" spans="1:12" customHeight="1" ht="105" outlineLevel="4">
      <c r="A137" s="1"/>
      <c r="B137" s="1">
        <v>929888</v>
      </c>
      <c r="C137" s="1" t="s">
        <v>450</v>
      </c>
      <c r="D137" s="1" t="s">
        <v>451</v>
      </c>
      <c r="E137" s="2" t="s">
        <v>452</v>
      </c>
      <c r="F137" s="2" t="s">
        <v>453</v>
      </c>
      <c r="G137" s="2" t="s">
        <v>82</v>
      </c>
      <c r="H137" s="2">
        <v>0</v>
      </c>
      <c r="I137" s="1">
        <v>0</v>
      </c>
      <c r="J137" s="3" t="s">
        <v>17</v>
      </c>
      <c r="K137" s="2" t="str">
        <f>J137*778.77</f>
        <v>0</v>
      </c>
      <c r="L137" s="5"/>
    </row>
    <row r="138" spans="1:12" customHeight="1" ht="105" outlineLevel="4">
      <c r="A138" s="1"/>
      <c r="B138" s="1">
        <v>929889</v>
      </c>
      <c r="C138" s="1" t="s">
        <v>454</v>
      </c>
      <c r="D138" s="1" t="s">
        <v>455</v>
      </c>
      <c r="E138" s="2" t="s">
        <v>456</v>
      </c>
      <c r="F138" s="2" t="s">
        <v>457</v>
      </c>
      <c r="G138" s="2">
        <v>10</v>
      </c>
      <c r="H138" s="2">
        <v>0</v>
      </c>
      <c r="I138" s="1">
        <v>0</v>
      </c>
      <c r="J138" s="3" t="s">
        <v>17</v>
      </c>
      <c r="K138" s="2" t="str">
        <f>J138*1384.65</f>
        <v>0</v>
      </c>
      <c r="L138" s="5"/>
    </row>
    <row r="139" spans="1:12" customHeight="1" ht="105" outlineLevel="4">
      <c r="A139" s="1"/>
      <c r="B139" s="1">
        <v>929890</v>
      </c>
      <c r="C139" s="1" t="s">
        <v>458</v>
      </c>
      <c r="D139" s="1" t="s">
        <v>459</v>
      </c>
      <c r="E139" s="2" t="s">
        <v>460</v>
      </c>
      <c r="F139" s="2" t="s">
        <v>461</v>
      </c>
      <c r="G139" s="2" t="s">
        <v>82</v>
      </c>
      <c r="H139" s="2">
        <v>0</v>
      </c>
      <c r="I139" s="1">
        <v>0</v>
      </c>
      <c r="J139" s="3" t="s">
        <v>17</v>
      </c>
      <c r="K139" s="2" t="str">
        <f>J139*2216.97</f>
        <v>0</v>
      </c>
      <c r="L139" s="5"/>
    </row>
    <row r="140" spans="1:12" customHeight="1" ht="105" outlineLevel="4">
      <c r="A140" s="1"/>
      <c r="B140" s="1">
        <v>929891</v>
      </c>
      <c r="C140" s="1" t="s">
        <v>462</v>
      </c>
      <c r="D140" s="1" t="s">
        <v>463</v>
      </c>
      <c r="E140" s="2" t="s">
        <v>464</v>
      </c>
      <c r="F140" s="2" t="s">
        <v>465</v>
      </c>
      <c r="G140" s="2" t="s">
        <v>16</v>
      </c>
      <c r="H140" s="2">
        <v>0</v>
      </c>
      <c r="I140" s="1">
        <v>0</v>
      </c>
      <c r="J140" s="3" t="s">
        <v>17</v>
      </c>
      <c r="K140" s="2" t="str">
        <f>J140*237.15</f>
        <v>0</v>
      </c>
      <c r="L140" s="5"/>
    </row>
    <row r="141" spans="1:12" customHeight="1" ht="105" outlineLevel="4">
      <c r="A141" s="1"/>
      <c r="B141" s="1">
        <v>929892</v>
      </c>
      <c r="C141" s="1" t="s">
        <v>466</v>
      </c>
      <c r="D141" s="1" t="s">
        <v>467</v>
      </c>
      <c r="E141" s="2" t="s">
        <v>468</v>
      </c>
      <c r="F141" s="2" t="s">
        <v>365</v>
      </c>
      <c r="G141" s="2" t="s">
        <v>34</v>
      </c>
      <c r="H141" s="2">
        <v>0</v>
      </c>
      <c r="I141" s="1">
        <v>0</v>
      </c>
      <c r="J141" s="3" t="s">
        <v>17</v>
      </c>
      <c r="K141" s="2" t="str">
        <f>J141*284.58</f>
        <v>0</v>
      </c>
      <c r="L141" s="5"/>
    </row>
    <row r="142" spans="1:12" customHeight="1" ht="105" outlineLevel="4">
      <c r="A142" s="1"/>
      <c r="B142" s="1">
        <v>929893</v>
      </c>
      <c r="C142" s="1" t="s">
        <v>469</v>
      </c>
      <c r="D142" s="1" t="s">
        <v>470</v>
      </c>
      <c r="E142" s="2" t="s">
        <v>471</v>
      </c>
      <c r="F142" s="2" t="s">
        <v>472</v>
      </c>
      <c r="G142" s="2" t="s">
        <v>69</v>
      </c>
      <c r="H142" s="2">
        <v>0</v>
      </c>
      <c r="I142" s="1">
        <v>0</v>
      </c>
      <c r="J142" s="3" t="s">
        <v>17</v>
      </c>
      <c r="K142" s="2" t="str">
        <f>J142*477.36</f>
        <v>0</v>
      </c>
      <c r="L142" s="5"/>
    </row>
    <row r="143" spans="1:12" customHeight="1" ht="105" outlineLevel="4">
      <c r="A143" s="1"/>
      <c r="B143" s="1">
        <v>929894</v>
      </c>
      <c r="C143" s="1" t="s">
        <v>473</v>
      </c>
      <c r="D143" s="1" t="s">
        <v>474</v>
      </c>
      <c r="E143" s="2" t="s">
        <v>475</v>
      </c>
      <c r="F143" s="2" t="s">
        <v>476</v>
      </c>
      <c r="G143" s="2" t="s">
        <v>34</v>
      </c>
      <c r="H143" s="2">
        <v>0</v>
      </c>
      <c r="I143" s="1">
        <v>0</v>
      </c>
      <c r="J143" s="3" t="s">
        <v>17</v>
      </c>
      <c r="K143" s="2" t="str">
        <f>J143*354.96</f>
        <v>0</v>
      </c>
      <c r="L143" s="5"/>
    </row>
    <row r="144" spans="1:12" customHeight="1" ht="105" outlineLevel="4">
      <c r="A144" s="1"/>
      <c r="B144" s="1">
        <v>929895</v>
      </c>
      <c r="C144" s="1" t="s">
        <v>477</v>
      </c>
      <c r="D144" s="1" t="s">
        <v>478</v>
      </c>
      <c r="E144" s="2" t="s">
        <v>479</v>
      </c>
      <c r="F144" s="2" t="s">
        <v>480</v>
      </c>
      <c r="G144" s="2" t="s">
        <v>34</v>
      </c>
      <c r="H144" s="2">
        <v>0</v>
      </c>
      <c r="I144" s="1">
        <v>0</v>
      </c>
      <c r="J144" s="3" t="s">
        <v>17</v>
      </c>
      <c r="K144" s="2" t="str">
        <f>J144*353.43</f>
        <v>0</v>
      </c>
      <c r="L144" s="5"/>
    </row>
    <row r="145" spans="1:12" customHeight="1" ht="105" outlineLevel="4">
      <c r="A145" s="1"/>
      <c r="B145" s="1">
        <v>929896</v>
      </c>
      <c r="C145" s="1" t="s">
        <v>481</v>
      </c>
      <c r="D145" s="1" t="s">
        <v>482</v>
      </c>
      <c r="E145" s="2" t="s">
        <v>483</v>
      </c>
      <c r="F145" s="2" t="s">
        <v>484</v>
      </c>
      <c r="G145" s="2" t="s">
        <v>69</v>
      </c>
      <c r="H145" s="2">
        <v>0</v>
      </c>
      <c r="I145" s="1">
        <v>0</v>
      </c>
      <c r="J145" s="3" t="s">
        <v>17</v>
      </c>
      <c r="K145" s="2" t="str">
        <f>J145*417.69</f>
        <v>0</v>
      </c>
      <c r="L145" s="5"/>
    </row>
    <row r="146" spans="1:12" customHeight="1" ht="105" outlineLevel="4">
      <c r="A146" s="1"/>
      <c r="B146" s="1">
        <v>929897</v>
      </c>
      <c r="C146" s="1" t="s">
        <v>485</v>
      </c>
      <c r="D146" s="1" t="s">
        <v>486</v>
      </c>
      <c r="E146" s="2" t="s">
        <v>487</v>
      </c>
      <c r="F146" s="2" t="s">
        <v>488</v>
      </c>
      <c r="G146" s="2" t="s">
        <v>69</v>
      </c>
      <c r="H146" s="2">
        <v>0</v>
      </c>
      <c r="I146" s="1">
        <v>0</v>
      </c>
      <c r="J146" s="3" t="s">
        <v>17</v>
      </c>
      <c r="K146" s="2" t="str">
        <f>J146*452.88</f>
        <v>0</v>
      </c>
      <c r="L146" s="5"/>
    </row>
    <row r="147" spans="1:12" customHeight="1" ht="105" outlineLevel="4">
      <c r="A147" s="1"/>
      <c r="B147" s="1">
        <v>929898</v>
      </c>
      <c r="C147" s="1" t="s">
        <v>489</v>
      </c>
      <c r="D147" s="1" t="s">
        <v>490</v>
      </c>
      <c r="E147" s="2" t="s">
        <v>491</v>
      </c>
      <c r="F147" s="2" t="s">
        <v>492</v>
      </c>
      <c r="G147" s="2" t="s">
        <v>16</v>
      </c>
      <c r="H147" s="2">
        <v>0</v>
      </c>
      <c r="I147" s="1">
        <v>0</v>
      </c>
      <c r="J147" s="3" t="s">
        <v>17</v>
      </c>
      <c r="K147" s="2" t="str">
        <f>J147*475.83</f>
        <v>0</v>
      </c>
      <c r="L147" s="5"/>
    </row>
    <row r="148" spans="1:12" customHeight="1" ht="105" outlineLevel="4">
      <c r="A148" s="1"/>
      <c r="B148" s="1">
        <v>929899</v>
      </c>
      <c r="C148" s="1" t="s">
        <v>493</v>
      </c>
      <c r="D148" s="1" t="s">
        <v>494</v>
      </c>
      <c r="E148" s="2" t="s">
        <v>495</v>
      </c>
      <c r="F148" s="2" t="s">
        <v>496</v>
      </c>
      <c r="G148" s="2" t="s">
        <v>82</v>
      </c>
      <c r="H148" s="2">
        <v>0</v>
      </c>
      <c r="I148" s="1">
        <v>0</v>
      </c>
      <c r="J148" s="3" t="s">
        <v>17</v>
      </c>
      <c r="K148" s="2" t="str">
        <f>J148*630.36</f>
        <v>0</v>
      </c>
      <c r="L148" s="5"/>
    </row>
    <row r="149" spans="1:12" customHeight="1" ht="105" outlineLevel="4">
      <c r="A149" s="1"/>
      <c r="B149" s="1">
        <v>929900</v>
      </c>
      <c r="C149" s="1" t="s">
        <v>497</v>
      </c>
      <c r="D149" s="1" t="s">
        <v>498</v>
      </c>
      <c r="E149" s="2" t="s">
        <v>499</v>
      </c>
      <c r="F149" s="2" t="s">
        <v>500</v>
      </c>
      <c r="G149" s="2" t="s">
        <v>69</v>
      </c>
      <c r="H149" s="2">
        <v>0</v>
      </c>
      <c r="I149" s="1">
        <v>0</v>
      </c>
      <c r="J149" s="3" t="s">
        <v>17</v>
      </c>
      <c r="K149" s="2" t="str">
        <f>J149*907.29</f>
        <v>0</v>
      </c>
      <c r="L149" s="5"/>
    </row>
    <row r="150" spans="1:12" customHeight="1" ht="105" outlineLevel="4">
      <c r="A150" s="1"/>
      <c r="B150" s="1">
        <v>929901</v>
      </c>
      <c r="C150" s="1" t="s">
        <v>501</v>
      </c>
      <c r="D150" s="1" t="s">
        <v>502</v>
      </c>
      <c r="E150" s="2" t="s">
        <v>503</v>
      </c>
      <c r="F150" s="2" t="s">
        <v>504</v>
      </c>
      <c r="G150" s="2">
        <v>9</v>
      </c>
      <c r="H150" s="2">
        <v>0</v>
      </c>
      <c r="I150" s="1">
        <v>0</v>
      </c>
      <c r="J150" s="3" t="s">
        <v>17</v>
      </c>
      <c r="K150" s="2" t="str">
        <f>J150*1462.68</f>
        <v>0</v>
      </c>
      <c r="L150" s="5"/>
    </row>
    <row r="151" spans="1:12" customHeight="1" ht="105" outlineLevel="4">
      <c r="A151" s="1"/>
      <c r="B151" s="1">
        <v>929902</v>
      </c>
      <c r="C151" s="1" t="s">
        <v>505</v>
      </c>
      <c r="D151" s="1" t="s">
        <v>506</v>
      </c>
      <c r="E151" s="2" t="s">
        <v>507</v>
      </c>
      <c r="F151" s="2" t="s">
        <v>508</v>
      </c>
      <c r="G151" s="2">
        <v>6</v>
      </c>
      <c r="H151" s="2">
        <v>0</v>
      </c>
      <c r="I151" s="1">
        <v>0</v>
      </c>
      <c r="J151" s="3" t="s">
        <v>17</v>
      </c>
      <c r="K151" s="2" t="str">
        <f>J151*2597.94</f>
        <v>0</v>
      </c>
      <c r="L151" s="5"/>
    </row>
    <row r="152" spans="1:12" customHeight="1" ht="105" outlineLevel="4">
      <c r="A152" s="1"/>
      <c r="B152" s="1">
        <v>929903</v>
      </c>
      <c r="C152" s="1" t="s">
        <v>509</v>
      </c>
      <c r="D152" s="1"/>
      <c r="E152" s="2" t="s">
        <v>510</v>
      </c>
      <c r="F152" s="2" t="s">
        <v>511</v>
      </c>
      <c r="G152" s="2" t="s">
        <v>69</v>
      </c>
      <c r="H152" s="2">
        <v>0</v>
      </c>
      <c r="I152" s="1">
        <v>0</v>
      </c>
      <c r="J152" s="3" t="s">
        <v>17</v>
      </c>
      <c r="K152" s="2" t="str">
        <f>J152*48.38</f>
        <v>0</v>
      </c>
      <c r="L152" s="5"/>
    </row>
    <row r="153" spans="1:12" customHeight="1" ht="105" outlineLevel="4">
      <c r="A153" s="1"/>
      <c r="B153" s="1">
        <v>929904</v>
      </c>
      <c r="C153" s="1" t="s">
        <v>512</v>
      </c>
      <c r="D153" s="1"/>
      <c r="E153" s="2" t="s">
        <v>513</v>
      </c>
      <c r="F153" s="2" t="s">
        <v>514</v>
      </c>
      <c r="G153" s="2" t="s">
        <v>69</v>
      </c>
      <c r="H153" s="2">
        <v>0</v>
      </c>
      <c r="I153" s="1">
        <v>0</v>
      </c>
      <c r="J153" s="3" t="s">
        <v>17</v>
      </c>
      <c r="K153" s="2" t="str">
        <f>J153*74.95</f>
        <v>0</v>
      </c>
      <c r="L153" s="5"/>
    </row>
    <row r="154" spans="1:12" customHeight="1" ht="105" outlineLevel="4">
      <c r="A154" s="1"/>
      <c r="B154" s="1">
        <v>929905</v>
      </c>
      <c r="C154" s="1" t="s">
        <v>515</v>
      </c>
      <c r="D154" s="1"/>
      <c r="E154" s="2" t="s">
        <v>516</v>
      </c>
      <c r="F154" s="2" t="s">
        <v>517</v>
      </c>
      <c r="G154" s="2" t="s">
        <v>69</v>
      </c>
      <c r="H154" s="2">
        <v>0</v>
      </c>
      <c r="I154" s="1">
        <v>0</v>
      </c>
      <c r="J154" s="3" t="s">
        <v>17</v>
      </c>
      <c r="K154" s="2" t="str">
        <f>J154*91.80</f>
        <v>0</v>
      </c>
      <c r="L154" s="5"/>
    </row>
    <row r="155" spans="1:12" customHeight="1" ht="105" outlineLevel="4">
      <c r="A155" s="1"/>
      <c r="B155" s="1">
        <v>929906</v>
      </c>
      <c r="C155" s="1" t="s">
        <v>518</v>
      </c>
      <c r="D155" s="1"/>
      <c r="E155" s="2" t="s">
        <v>519</v>
      </c>
      <c r="F155" s="2" t="s">
        <v>511</v>
      </c>
      <c r="G155" s="2" t="s">
        <v>69</v>
      </c>
      <c r="H155" s="2">
        <v>0</v>
      </c>
      <c r="I155" s="1">
        <v>0</v>
      </c>
      <c r="J155" s="3" t="s">
        <v>17</v>
      </c>
      <c r="K155" s="2" t="str">
        <f>J155*48.38</f>
        <v>0</v>
      </c>
      <c r="L155" s="5"/>
    </row>
    <row r="156" spans="1:12" customHeight="1" ht="105" outlineLevel="4">
      <c r="A156" s="1"/>
      <c r="B156" s="1">
        <v>929907</v>
      </c>
      <c r="C156" s="1" t="s">
        <v>520</v>
      </c>
      <c r="D156" s="1"/>
      <c r="E156" s="2" t="s">
        <v>521</v>
      </c>
      <c r="F156" s="2" t="s">
        <v>522</v>
      </c>
      <c r="G156" s="2" t="s">
        <v>69</v>
      </c>
      <c r="H156" s="2">
        <v>0</v>
      </c>
      <c r="I156" s="1">
        <v>0</v>
      </c>
      <c r="J156" s="3" t="s">
        <v>17</v>
      </c>
      <c r="K156" s="2" t="str">
        <f>J156*74.74</f>
        <v>0</v>
      </c>
      <c r="L156" s="5"/>
    </row>
    <row r="157" spans="1:12" customHeight="1" ht="105" outlineLevel="4">
      <c r="A157" s="1"/>
      <c r="B157" s="1">
        <v>929908</v>
      </c>
      <c r="C157" s="1" t="s">
        <v>523</v>
      </c>
      <c r="D157" s="1"/>
      <c r="E157" s="2" t="s">
        <v>524</v>
      </c>
      <c r="F157" s="2" t="s">
        <v>525</v>
      </c>
      <c r="G157" s="2" t="s">
        <v>69</v>
      </c>
      <c r="H157" s="2">
        <v>0</v>
      </c>
      <c r="I157" s="1">
        <v>0</v>
      </c>
      <c r="J157" s="3" t="s">
        <v>17</v>
      </c>
      <c r="K157" s="2" t="str">
        <f>J157*92.02</f>
        <v>0</v>
      </c>
      <c r="L157" s="5"/>
    </row>
    <row r="158" spans="1:12" customHeight="1" ht="105" outlineLevel="4">
      <c r="A158" s="1"/>
      <c r="B158" s="1">
        <v>929909</v>
      </c>
      <c r="C158" s="1" t="s">
        <v>526</v>
      </c>
      <c r="D158" s="1"/>
      <c r="E158" s="2" t="s">
        <v>527</v>
      </c>
      <c r="F158" s="2" t="s">
        <v>528</v>
      </c>
      <c r="G158" s="2" t="s">
        <v>34</v>
      </c>
      <c r="H158" s="2">
        <v>0</v>
      </c>
      <c r="I158" s="1">
        <v>0</v>
      </c>
      <c r="J158" s="3" t="s">
        <v>17</v>
      </c>
      <c r="K158" s="2" t="str">
        <f>J158*146.88</f>
        <v>0</v>
      </c>
      <c r="L158" s="5"/>
    </row>
    <row r="159" spans="1:12" customHeight="1" ht="105" outlineLevel="4">
      <c r="A159" s="1"/>
      <c r="B159" s="1">
        <v>929910</v>
      </c>
      <c r="C159" s="1" t="s">
        <v>529</v>
      </c>
      <c r="D159" s="1"/>
      <c r="E159" s="2" t="s">
        <v>530</v>
      </c>
      <c r="F159" s="2" t="s">
        <v>531</v>
      </c>
      <c r="G159" s="2" t="s">
        <v>69</v>
      </c>
      <c r="H159" s="2">
        <v>0</v>
      </c>
      <c r="I159" s="1">
        <v>0</v>
      </c>
      <c r="J159" s="3" t="s">
        <v>17</v>
      </c>
      <c r="K159" s="2" t="str">
        <f>J159*208.01</f>
        <v>0</v>
      </c>
      <c r="L159" s="5"/>
    </row>
    <row r="160" spans="1:12" customHeight="1" ht="105" outlineLevel="4">
      <c r="A160" s="1"/>
      <c r="B160" s="1">
        <v>929911</v>
      </c>
      <c r="C160" s="1" t="s">
        <v>532</v>
      </c>
      <c r="D160" s="1"/>
      <c r="E160" s="2" t="s">
        <v>533</v>
      </c>
      <c r="F160" s="2" t="s">
        <v>534</v>
      </c>
      <c r="G160" s="2" t="s">
        <v>82</v>
      </c>
      <c r="H160" s="2">
        <v>0</v>
      </c>
      <c r="I160" s="1">
        <v>0</v>
      </c>
      <c r="J160" s="3" t="s">
        <v>17</v>
      </c>
      <c r="K160" s="2" t="str">
        <f>J160*221.18</f>
        <v>0</v>
      </c>
      <c r="L160" s="5"/>
    </row>
    <row r="161" spans="1:12" customHeight="1" ht="105" outlineLevel="4">
      <c r="A161" s="1"/>
      <c r="B161" s="1">
        <v>929912</v>
      </c>
      <c r="C161" s="1" t="s">
        <v>535</v>
      </c>
      <c r="D161" s="1"/>
      <c r="E161" s="2" t="s">
        <v>536</v>
      </c>
      <c r="F161" s="2" t="s">
        <v>537</v>
      </c>
      <c r="G161" s="2">
        <v>7</v>
      </c>
      <c r="H161" s="2">
        <v>0</v>
      </c>
      <c r="I161" s="1">
        <v>0</v>
      </c>
      <c r="J161" s="3" t="s">
        <v>17</v>
      </c>
      <c r="K161" s="2" t="str">
        <f>J161*349.92</f>
        <v>0</v>
      </c>
      <c r="L161" s="5"/>
    </row>
    <row r="162" spans="1:12" customHeight="1" ht="105" outlineLevel="4">
      <c r="A162" s="1"/>
      <c r="B162" s="1">
        <v>929913</v>
      </c>
      <c r="C162" s="1" t="s">
        <v>538</v>
      </c>
      <c r="D162" s="1"/>
      <c r="E162" s="2" t="s">
        <v>539</v>
      </c>
      <c r="F162" s="2" t="s">
        <v>540</v>
      </c>
      <c r="G162" s="2" t="s">
        <v>82</v>
      </c>
      <c r="H162" s="2">
        <v>0</v>
      </c>
      <c r="I162" s="1">
        <v>0</v>
      </c>
      <c r="J162" s="3" t="s">
        <v>17</v>
      </c>
      <c r="K162" s="2" t="str">
        <f>J162*350.78</f>
        <v>0</v>
      </c>
      <c r="L162" s="5"/>
    </row>
    <row r="163" spans="1:12" customHeight="1" ht="105" outlineLevel="4">
      <c r="A163" s="1"/>
      <c r="B163" s="1">
        <v>929914</v>
      </c>
      <c r="C163" s="1" t="s">
        <v>541</v>
      </c>
      <c r="D163" s="1"/>
      <c r="E163" s="2" t="s">
        <v>542</v>
      </c>
      <c r="F163" s="2" t="s">
        <v>543</v>
      </c>
      <c r="G163" s="2">
        <v>6</v>
      </c>
      <c r="H163" s="2">
        <v>0</v>
      </c>
      <c r="I163" s="1">
        <v>0</v>
      </c>
      <c r="J163" s="3" t="s">
        <v>17</v>
      </c>
      <c r="K163" s="2" t="str">
        <f>J163*504.14</f>
        <v>0</v>
      </c>
      <c r="L163" s="5"/>
    </row>
    <row r="164" spans="1:12" customHeight="1" ht="105" outlineLevel="4">
      <c r="A164" s="1"/>
      <c r="B164" s="1">
        <v>929915</v>
      </c>
      <c r="C164" s="1" t="s">
        <v>544</v>
      </c>
      <c r="D164" s="1"/>
      <c r="E164" s="2" t="s">
        <v>545</v>
      </c>
      <c r="F164" s="2" t="s">
        <v>546</v>
      </c>
      <c r="G164" s="2" t="s">
        <v>82</v>
      </c>
      <c r="H164" s="2">
        <v>0</v>
      </c>
      <c r="I164" s="1">
        <v>0</v>
      </c>
      <c r="J164" s="3" t="s">
        <v>17</v>
      </c>
      <c r="K164" s="2" t="str">
        <f>J164*88.13</f>
        <v>0</v>
      </c>
      <c r="L164" s="5"/>
    </row>
    <row r="165" spans="1:12" customHeight="1" ht="105" outlineLevel="4">
      <c r="A165" s="1"/>
      <c r="B165" s="1">
        <v>929916</v>
      </c>
      <c r="C165" s="1" t="s">
        <v>547</v>
      </c>
      <c r="D165" s="1"/>
      <c r="E165" s="2" t="s">
        <v>548</v>
      </c>
      <c r="F165" s="2" t="s">
        <v>549</v>
      </c>
      <c r="G165" s="2">
        <v>0</v>
      </c>
      <c r="H165" s="2">
        <v>0</v>
      </c>
      <c r="I165" s="1">
        <v>0</v>
      </c>
      <c r="J165" s="3" t="s">
        <v>17</v>
      </c>
      <c r="K165" s="2" t="str">
        <f>J165*95.47</f>
        <v>0</v>
      </c>
      <c r="L165" s="5"/>
    </row>
    <row r="166" spans="1:12" customHeight="1" ht="105" outlineLevel="4">
      <c r="A166" s="1"/>
      <c r="B166" s="1">
        <v>929917</v>
      </c>
      <c r="C166" s="1" t="s">
        <v>550</v>
      </c>
      <c r="D166" s="1"/>
      <c r="E166" s="2" t="s">
        <v>551</v>
      </c>
      <c r="F166" s="2" t="s">
        <v>552</v>
      </c>
      <c r="G166" s="2" t="s">
        <v>69</v>
      </c>
      <c r="H166" s="2">
        <v>0</v>
      </c>
      <c r="I166" s="1">
        <v>0</v>
      </c>
      <c r="J166" s="3" t="s">
        <v>17</v>
      </c>
      <c r="K166" s="2" t="str">
        <f>J166*102.82</f>
        <v>0</v>
      </c>
      <c r="L166" s="5"/>
    </row>
    <row r="167" spans="1:12" customHeight="1" ht="105" outlineLevel="4">
      <c r="A167" s="1"/>
      <c r="B167" s="1">
        <v>929918</v>
      </c>
      <c r="C167" s="1" t="s">
        <v>553</v>
      </c>
      <c r="D167" s="1"/>
      <c r="E167" s="2" t="s">
        <v>554</v>
      </c>
      <c r="F167" s="2" t="s">
        <v>555</v>
      </c>
      <c r="G167" s="2">
        <v>3</v>
      </c>
      <c r="H167" s="2">
        <v>0</v>
      </c>
      <c r="I167" s="1">
        <v>0</v>
      </c>
      <c r="J167" s="3" t="s">
        <v>17</v>
      </c>
      <c r="K167" s="2" t="str">
        <f>J167*139.23</f>
        <v>0</v>
      </c>
      <c r="L167" s="5"/>
    </row>
    <row r="168" spans="1:12" customHeight="1" ht="105" outlineLevel="4">
      <c r="A168" s="1"/>
      <c r="B168" s="1">
        <v>929919</v>
      </c>
      <c r="C168" s="1" t="s">
        <v>556</v>
      </c>
      <c r="D168" s="1"/>
      <c r="E168" s="2" t="s">
        <v>557</v>
      </c>
      <c r="F168" s="2" t="s">
        <v>558</v>
      </c>
      <c r="G168" s="2">
        <v>0</v>
      </c>
      <c r="H168" s="2">
        <v>0</v>
      </c>
      <c r="I168" s="1">
        <v>0</v>
      </c>
      <c r="J168" s="3" t="s">
        <v>17</v>
      </c>
      <c r="K168" s="2" t="str">
        <f>J168*149.94</f>
        <v>0</v>
      </c>
      <c r="L168" s="5"/>
    </row>
    <row r="169" spans="1:12" customHeight="1" ht="105" outlineLevel="4">
      <c r="A169" s="1"/>
      <c r="B169" s="1">
        <v>929920</v>
      </c>
      <c r="C169" s="1" t="s">
        <v>559</v>
      </c>
      <c r="D169" s="1"/>
      <c r="E169" s="2" t="s">
        <v>560</v>
      </c>
      <c r="F169" s="2" t="s">
        <v>561</v>
      </c>
      <c r="G169" s="2" t="s">
        <v>82</v>
      </c>
      <c r="H169" s="2">
        <v>0</v>
      </c>
      <c r="I169" s="1">
        <v>0</v>
      </c>
      <c r="J169" s="3" t="s">
        <v>17</v>
      </c>
      <c r="K169" s="2" t="str">
        <f>J169*180.54</f>
        <v>0</v>
      </c>
      <c r="L169" s="5"/>
    </row>
    <row r="170" spans="1:12" customHeight="1" ht="105" outlineLevel="4">
      <c r="A170" s="1"/>
      <c r="B170" s="1">
        <v>929921</v>
      </c>
      <c r="C170" s="1" t="s">
        <v>562</v>
      </c>
      <c r="D170" s="1"/>
      <c r="E170" s="2" t="s">
        <v>563</v>
      </c>
      <c r="F170" s="2" t="s">
        <v>564</v>
      </c>
      <c r="G170" s="2">
        <v>7</v>
      </c>
      <c r="H170" s="2">
        <v>0</v>
      </c>
      <c r="I170" s="1">
        <v>0</v>
      </c>
      <c r="J170" s="3" t="s">
        <v>17</v>
      </c>
      <c r="K170" s="2" t="str">
        <f>J170*201.96</f>
        <v>0</v>
      </c>
      <c r="L170" s="5"/>
    </row>
    <row r="171" spans="1:12" customHeight="1" ht="105" outlineLevel="4">
      <c r="A171" s="1"/>
      <c r="B171" s="1">
        <v>929922</v>
      </c>
      <c r="C171" s="1" t="s">
        <v>565</v>
      </c>
      <c r="D171" s="1"/>
      <c r="E171" s="2" t="s">
        <v>566</v>
      </c>
      <c r="F171" s="2" t="s">
        <v>567</v>
      </c>
      <c r="G171" s="2" t="s">
        <v>82</v>
      </c>
      <c r="H171" s="2">
        <v>0</v>
      </c>
      <c r="I171" s="1">
        <v>0</v>
      </c>
      <c r="J171" s="3" t="s">
        <v>17</v>
      </c>
      <c r="K171" s="2" t="str">
        <f>J171*287.64</f>
        <v>0</v>
      </c>
      <c r="L171" s="5"/>
    </row>
    <row r="172" spans="1:12" customHeight="1" ht="105" outlineLevel="4">
      <c r="A172" s="1"/>
      <c r="B172" s="1">
        <v>929923</v>
      </c>
      <c r="C172" s="1" t="s">
        <v>568</v>
      </c>
      <c r="D172" s="1"/>
      <c r="E172" s="2" t="s">
        <v>569</v>
      </c>
      <c r="F172" s="2" t="s">
        <v>570</v>
      </c>
      <c r="G172" s="2" t="s">
        <v>34</v>
      </c>
      <c r="H172" s="2">
        <v>0</v>
      </c>
      <c r="I172" s="1">
        <v>0</v>
      </c>
      <c r="J172" s="3" t="s">
        <v>17</v>
      </c>
      <c r="K172" s="2" t="str">
        <f>J172*94.61</f>
        <v>0</v>
      </c>
      <c r="L172" s="5"/>
    </row>
    <row r="173" spans="1:12" customHeight="1" ht="105" outlineLevel="4">
      <c r="A173" s="1"/>
      <c r="B173" s="1">
        <v>929924</v>
      </c>
      <c r="C173" s="1" t="s">
        <v>571</v>
      </c>
      <c r="D173" s="1"/>
      <c r="E173" s="2" t="s">
        <v>572</v>
      </c>
      <c r="F173" s="2" t="s">
        <v>154</v>
      </c>
      <c r="G173" s="2" t="s">
        <v>69</v>
      </c>
      <c r="H173" s="2">
        <v>0</v>
      </c>
      <c r="I173" s="1">
        <v>0</v>
      </c>
      <c r="J173" s="3" t="s">
        <v>17</v>
      </c>
      <c r="K173" s="2" t="str">
        <f>J173*18.36</f>
        <v>0</v>
      </c>
      <c r="L173" s="5"/>
    </row>
    <row r="174" spans="1:12" customHeight="1" ht="105" outlineLevel="4">
      <c r="A174" s="1"/>
      <c r="B174" s="1">
        <v>929925</v>
      </c>
      <c r="C174" s="1" t="s">
        <v>573</v>
      </c>
      <c r="D174" s="1"/>
      <c r="E174" s="2" t="s">
        <v>574</v>
      </c>
      <c r="F174" s="2" t="s">
        <v>575</v>
      </c>
      <c r="G174" s="2" t="s">
        <v>576</v>
      </c>
      <c r="H174" s="2">
        <v>0</v>
      </c>
      <c r="I174" s="1">
        <v>0</v>
      </c>
      <c r="J174" s="3" t="s">
        <v>17</v>
      </c>
      <c r="K174" s="2" t="str">
        <f>J174*7.35</f>
        <v>0</v>
      </c>
      <c r="L174" s="5"/>
    </row>
    <row r="175" spans="1:12" customHeight="1" ht="105" outlineLevel="4">
      <c r="A175" s="1"/>
      <c r="B175" s="1">
        <v>929926</v>
      </c>
      <c r="C175" s="1" t="s">
        <v>577</v>
      </c>
      <c r="D175" s="1"/>
      <c r="E175" s="2" t="s">
        <v>578</v>
      </c>
      <c r="F175" s="2" t="s">
        <v>579</v>
      </c>
      <c r="G175" s="2" t="s">
        <v>576</v>
      </c>
      <c r="H175" s="2">
        <v>0</v>
      </c>
      <c r="I175" s="1">
        <v>0</v>
      </c>
      <c r="J175" s="3" t="s">
        <v>17</v>
      </c>
      <c r="K175" s="2" t="str">
        <f>J175*11.25</f>
        <v>0</v>
      </c>
      <c r="L175" s="5"/>
    </row>
    <row r="176" spans="1:12" customHeight="1" ht="105" outlineLevel="4">
      <c r="A176" s="1"/>
      <c r="B176" s="1">
        <v>929927</v>
      </c>
      <c r="C176" s="1" t="s">
        <v>580</v>
      </c>
      <c r="D176" s="1"/>
      <c r="E176" s="2" t="s">
        <v>581</v>
      </c>
      <c r="F176" s="2" t="s">
        <v>582</v>
      </c>
      <c r="G176" s="2" t="s">
        <v>21</v>
      </c>
      <c r="H176" s="2">
        <v>0</v>
      </c>
      <c r="I176" s="1">
        <v>0</v>
      </c>
      <c r="J176" s="3" t="s">
        <v>17</v>
      </c>
      <c r="K176" s="2" t="str">
        <f>J176*19.55</f>
        <v>0</v>
      </c>
      <c r="L176" s="5"/>
    </row>
    <row r="177" spans="1:12" customHeight="1" ht="105" outlineLevel="4">
      <c r="A177" s="1"/>
      <c r="B177" s="1">
        <v>929928</v>
      </c>
      <c r="C177" s="1" t="s">
        <v>583</v>
      </c>
      <c r="D177" s="1"/>
      <c r="E177" s="2" t="s">
        <v>584</v>
      </c>
      <c r="F177" s="2" t="s">
        <v>585</v>
      </c>
      <c r="G177" s="2" t="s">
        <v>16</v>
      </c>
      <c r="H177" s="2">
        <v>0</v>
      </c>
      <c r="I177" s="1">
        <v>0</v>
      </c>
      <c r="J177" s="3" t="s">
        <v>17</v>
      </c>
      <c r="K177" s="2" t="str">
        <f>J177*39.31</f>
        <v>0</v>
      </c>
      <c r="L177" s="5"/>
    </row>
    <row r="178" spans="1:12" customHeight="1" ht="105" outlineLevel="4">
      <c r="A178" s="1"/>
      <c r="B178" s="1">
        <v>929929</v>
      </c>
      <c r="C178" s="1" t="s">
        <v>586</v>
      </c>
      <c r="D178" s="1"/>
      <c r="E178" s="2" t="s">
        <v>587</v>
      </c>
      <c r="F178" s="2" t="s">
        <v>588</v>
      </c>
      <c r="G178" s="2" t="s">
        <v>34</v>
      </c>
      <c r="H178" s="2">
        <v>0</v>
      </c>
      <c r="I178" s="1">
        <v>0</v>
      </c>
      <c r="J178" s="3" t="s">
        <v>17</v>
      </c>
      <c r="K178" s="2" t="str">
        <f>J178*65.02</f>
        <v>0</v>
      </c>
      <c r="L178" s="5"/>
    </row>
    <row r="179" spans="1:12" customHeight="1" ht="105" outlineLevel="4">
      <c r="A179" s="1"/>
      <c r="B179" s="1">
        <v>929930</v>
      </c>
      <c r="C179" s="1" t="s">
        <v>589</v>
      </c>
      <c r="D179" s="1"/>
      <c r="E179" s="2" t="s">
        <v>590</v>
      </c>
      <c r="F179" s="2" t="s">
        <v>591</v>
      </c>
      <c r="G179" s="2" t="s">
        <v>69</v>
      </c>
      <c r="H179" s="2">
        <v>0</v>
      </c>
      <c r="I179" s="1">
        <v>0</v>
      </c>
      <c r="J179" s="3" t="s">
        <v>17</v>
      </c>
      <c r="K179" s="2" t="str">
        <f>J179*114.91</f>
        <v>0</v>
      </c>
      <c r="L179" s="5"/>
    </row>
    <row r="180" spans="1:12" customHeight="1" ht="105" outlineLevel="4">
      <c r="A180" s="1"/>
      <c r="B180" s="1">
        <v>929931</v>
      </c>
      <c r="C180" s="1" t="s">
        <v>592</v>
      </c>
      <c r="D180" s="1"/>
      <c r="E180" s="2" t="s">
        <v>593</v>
      </c>
      <c r="F180" s="2" t="s">
        <v>594</v>
      </c>
      <c r="G180" s="2">
        <v>0</v>
      </c>
      <c r="H180" s="2">
        <v>0</v>
      </c>
      <c r="I180" s="1">
        <v>0</v>
      </c>
      <c r="J180" s="3" t="s">
        <v>17</v>
      </c>
      <c r="K180" s="2" t="str">
        <f>J180*266.33</f>
        <v>0</v>
      </c>
      <c r="L180" s="5"/>
    </row>
    <row r="181" spans="1:12" customHeight="1" ht="105" outlineLevel="4">
      <c r="A181" s="1"/>
      <c r="B181" s="1">
        <v>929932</v>
      </c>
      <c r="C181" s="1" t="s">
        <v>595</v>
      </c>
      <c r="D181" s="1"/>
      <c r="E181" s="2" t="s">
        <v>596</v>
      </c>
      <c r="F181" s="2" t="s">
        <v>597</v>
      </c>
      <c r="G181" s="2">
        <v>0</v>
      </c>
      <c r="H181" s="2">
        <v>0</v>
      </c>
      <c r="I181" s="1">
        <v>0</v>
      </c>
      <c r="J181" s="3" t="s">
        <v>17</v>
      </c>
      <c r="K181" s="2" t="str">
        <f>J181*422.06</f>
        <v>0</v>
      </c>
      <c r="L181" s="5"/>
    </row>
    <row r="182" spans="1:12" customHeight="1" ht="105" outlineLevel="4">
      <c r="A182" s="1"/>
      <c r="B182" s="1">
        <v>929933</v>
      </c>
      <c r="C182" s="1" t="s">
        <v>598</v>
      </c>
      <c r="D182" s="1"/>
      <c r="E182" s="2" t="s">
        <v>599</v>
      </c>
      <c r="F182" s="2" t="s">
        <v>600</v>
      </c>
      <c r="G182" s="2">
        <v>0</v>
      </c>
      <c r="H182" s="2">
        <v>0</v>
      </c>
      <c r="I182" s="1">
        <v>0</v>
      </c>
      <c r="J182" s="3" t="s">
        <v>17</v>
      </c>
      <c r="K182" s="2" t="str">
        <f>J182*593.35</f>
        <v>0</v>
      </c>
      <c r="L182" s="5"/>
    </row>
    <row r="183" spans="1:12" customHeight="1" ht="105" outlineLevel="4">
      <c r="A183" s="1"/>
      <c r="B183" s="1">
        <v>929934</v>
      </c>
      <c r="C183" s="1" t="s">
        <v>601</v>
      </c>
      <c r="D183" s="1"/>
      <c r="E183" s="2" t="s">
        <v>602</v>
      </c>
      <c r="F183" s="2" t="s">
        <v>603</v>
      </c>
      <c r="G183" s="2">
        <v>0</v>
      </c>
      <c r="H183" s="2">
        <v>0</v>
      </c>
      <c r="I183" s="1">
        <v>0</v>
      </c>
      <c r="J183" s="3" t="s">
        <v>17</v>
      </c>
      <c r="K183" s="2" t="str">
        <f>J183*1755.86</f>
        <v>0</v>
      </c>
      <c r="L183" s="5"/>
    </row>
    <row r="184" spans="1:12" customHeight="1" ht="105" outlineLevel="4">
      <c r="A184" s="1"/>
      <c r="B184" s="1">
        <v>929935</v>
      </c>
      <c r="C184" s="1" t="s">
        <v>604</v>
      </c>
      <c r="D184" s="1"/>
      <c r="E184" s="2" t="s">
        <v>605</v>
      </c>
      <c r="F184" s="2" t="s">
        <v>606</v>
      </c>
      <c r="G184" s="2">
        <v>0</v>
      </c>
      <c r="H184" s="2">
        <v>0</v>
      </c>
      <c r="I184" s="1">
        <v>0</v>
      </c>
      <c r="J184" s="3" t="s">
        <v>17</v>
      </c>
      <c r="K184" s="2" t="str">
        <f>J184*2122.20</f>
        <v>0</v>
      </c>
      <c r="L184" s="5"/>
    </row>
    <row r="185" spans="1:12" customHeight="1" ht="105" outlineLevel="4">
      <c r="A185" s="1"/>
      <c r="B185" s="1">
        <v>929936</v>
      </c>
      <c r="C185" s="1" t="s">
        <v>607</v>
      </c>
      <c r="D185" s="1"/>
      <c r="E185" s="2" t="s">
        <v>608</v>
      </c>
      <c r="F185" s="2" t="s">
        <v>609</v>
      </c>
      <c r="G185" s="2" t="s">
        <v>576</v>
      </c>
      <c r="H185" s="2">
        <v>0</v>
      </c>
      <c r="I185" s="1">
        <v>0</v>
      </c>
      <c r="J185" s="3" t="s">
        <v>17</v>
      </c>
      <c r="K185" s="2" t="str">
        <f>J185*7.83</f>
        <v>0</v>
      </c>
      <c r="L185" s="5"/>
    </row>
    <row r="186" spans="1:12" customHeight="1" ht="105" outlineLevel="4">
      <c r="A186" s="1"/>
      <c r="B186" s="1">
        <v>929937</v>
      </c>
      <c r="C186" s="1" t="s">
        <v>610</v>
      </c>
      <c r="D186" s="1"/>
      <c r="E186" s="2" t="s">
        <v>611</v>
      </c>
      <c r="F186" s="2" t="s">
        <v>612</v>
      </c>
      <c r="G186" s="2" t="s">
        <v>21</v>
      </c>
      <c r="H186" s="2">
        <v>0</v>
      </c>
      <c r="I186" s="1">
        <v>0</v>
      </c>
      <c r="J186" s="3" t="s">
        <v>17</v>
      </c>
      <c r="K186" s="2" t="str">
        <f>J186*12.74</f>
        <v>0</v>
      </c>
      <c r="L186" s="5"/>
    </row>
    <row r="187" spans="1:12" customHeight="1" ht="105" outlineLevel="4">
      <c r="A187" s="1"/>
      <c r="B187" s="1">
        <v>929938</v>
      </c>
      <c r="C187" s="1" t="s">
        <v>613</v>
      </c>
      <c r="D187" s="1"/>
      <c r="E187" s="2" t="s">
        <v>614</v>
      </c>
      <c r="F187" s="2" t="s">
        <v>615</v>
      </c>
      <c r="G187" s="2" t="s">
        <v>16</v>
      </c>
      <c r="H187" s="2">
        <v>0</v>
      </c>
      <c r="I187" s="1">
        <v>0</v>
      </c>
      <c r="J187" s="3" t="s">
        <v>17</v>
      </c>
      <c r="K187" s="2" t="str">
        <f>J187*25.85</f>
        <v>0</v>
      </c>
      <c r="L187" s="5"/>
    </row>
    <row r="188" spans="1:12" customHeight="1" ht="105" outlineLevel="4">
      <c r="A188" s="1"/>
      <c r="B188" s="1">
        <v>929939</v>
      </c>
      <c r="C188" s="1" t="s">
        <v>616</v>
      </c>
      <c r="D188" s="1"/>
      <c r="E188" s="2" t="s">
        <v>617</v>
      </c>
      <c r="F188" s="2" t="s">
        <v>618</v>
      </c>
      <c r="G188" s="2" t="s">
        <v>16</v>
      </c>
      <c r="H188" s="2">
        <v>0</v>
      </c>
      <c r="I188" s="1">
        <v>0</v>
      </c>
      <c r="J188" s="3" t="s">
        <v>17</v>
      </c>
      <c r="K188" s="2" t="str">
        <f>J188*43.20</f>
        <v>0</v>
      </c>
      <c r="L188" s="5"/>
    </row>
    <row r="189" spans="1:12" customHeight="1" ht="105" outlineLevel="4">
      <c r="A189" s="1"/>
      <c r="B189" s="1">
        <v>929940</v>
      </c>
      <c r="C189" s="1" t="s">
        <v>619</v>
      </c>
      <c r="D189" s="1"/>
      <c r="E189" s="2" t="s">
        <v>620</v>
      </c>
      <c r="F189" s="2" t="s">
        <v>91</v>
      </c>
      <c r="G189" s="2" t="s">
        <v>16</v>
      </c>
      <c r="H189" s="2">
        <v>0</v>
      </c>
      <c r="I189" s="1">
        <v>0</v>
      </c>
      <c r="J189" s="3" t="s">
        <v>17</v>
      </c>
      <c r="K189" s="2" t="str">
        <f>J189*79.49</f>
        <v>0</v>
      </c>
      <c r="L189" s="5"/>
    </row>
    <row r="190" spans="1:12" customHeight="1" ht="105" outlineLevel="4">
      <c r="A190" s="1"/>
      <c r="B190" s="1">
        <v>929941</v>
      </c>
      <c r="C190" s="1" t="s">
        <v>621</v>
      </c>
      <c r="D190" s="1"/>
      <c r="E190" s="2" t="s">
        <v>622</v>
      </c>
      <c r="F190" s="2" t="s">
        <v>623</v>
      </c>
      <c r="G190" s="2" t="s">
        <v>69</v>
      </c>
      <c r="H190" s="2">
        <v>0</v>
      </c>
      <c r="I190" s="1">
        <v>0</v>
      </c>
      <c r="J190" s="3" t="s">
        <v>17</v>
      </c>
      <c r="K190" s="2" t="str">
        <f>J190*158.98</f>
        <v>0</v>
      </c>
      <c r="L190" s="5"/>
    </row>
    <row r="191" spans="1:12" customHeight="1" ht="105" outlineLevel="4">
      <c r="A191" s="1"/>
      <c r="B191" s="1">
        <v>929942</v>
      </c>
      <c r="C191" s="1" t="s">
        <v>624</v>
      </c>
      <c r="D191" s="1"/>
      <c r="E191" s="2" t="s">
        <v>625</v>
      </c>
      <c r="F191" s="2" t="s">
        <v>626</v>
      </c>
      <c r="G191" s="2">
        <v>0</v>
      </c>
      <c r="H191" s="2">
        <v>0</v>
      </c>
      <c r="I191" s="1">
        <v>0</v>
      </c>
      <c r="J191" s="3" t="s">
        <v>17</v>
      </c>
      <c r="K191" s="2" t="str">
        <f>J191*291.60</f>
        <v>0</v>
      </c>
      <c r="L191" s="5"/>
    </row>
    <row r="192" spans="1:12" customHeight="1" ht="105" outlineLevel="4">
      <c r="A192" s="1"/>
      <c r="B192" s="1">
        <v>929943</v>
      </c>
      <c r="C192" s="1" t="s">
        <v>627</v>
      </c>
      <c r="D192" s="1"/>
      <c r="E192" s="2" t="s">
        <v>628</v>
      </c>
      <c r="F192" s="2" t="s">
        <v>629</v>
      </c>
      <c r="G192" s="2">
        <v>0</v>
      </c>
      <c r="H192" s="2">
        <v>0</v>
      </c>
      <c r="I192" s="1">
        <v>0</v>
      </c>
      <c r="J192" s="3" t="s">
        <v>17</v>
      </c>
      <c r="K192" s="2" t="str">
        <f>J192*442.15</f>
        <v>0</v>
      </c>
      <c r="L192" s="5"/>
    </row>
    <row r="193" spans="1:12" customHeight="1" ht="105" outlineLevel="4">
      <c r="A193" s="1"/>
      <c r="B193" s="1">
        <v>929944</v>
      </c>
      <c r="C193" s="1" t="s">
        <v>630</v>
      </c>
      <c r="D193" s="1"/>
      <c r="E193" s="2" t="s">
        <v>631</v>
      </c>
      <c r="F193" s="2" t="s">
        <v>632</v>
      </c>
      <c r="G193" s="2">
        <v>0</v>
      </c>
      <c r="H193" s="2">
        <v>0</v>
      </c>
      <c r="I193" s="1">
        <v>0</v>
      </c>
      <c r="J193" s="3" t="s">
        <v>17</v>
      </c>
      <c r="K193" s="2" t="str">
        <f>J193*639.14</f>
        <v>0</v>
      </c>
      <c r="L193" s="5"/>
    </row>
    <row r="194" spans="1:12" customHeight="1" ht="105" outlineLevel="4">
      <c r="A194" s="1"/>
      <c r="B194" s="1">
        <v>929945</v>
      </c>
      <c r="C194" s="1" t="s">
        <v>633</v>
      </c>
      <c r="D194" s="1"/>
      <c r="E194" s="2" t="s">
        <v>634</v>
      </c>
      <c r="F194" s="2" t="s">
        <v>635</v>
      </c>
      <c r="G194" s="2">
        <v>0</v>
      </c>
      <c r="H194" s="2">
        <v>0</v>
      </c>
      <c r="I194" s="1">
        <v>0</v>
      </c>
      <c r="J194" s="3" t="s">
        <v>17</v>
      </c>
      <c r="K194" s="2" t="str">
        <f>J194*1559.74</f>
        <v>0</v>
      </c>
      <c r="L194" s="5"/>
    </row>
    <row r="195" spans="1:12" customHeight="1" ht="105" outlineLevel="4">
      <c r="A195" s="1"/>
      <c r="B195" s="1">
        <v>929946</v>
      </c>
      <c r="C195" s="1" t="s">
        <v>636</v>
      </c>
      <c r="D195" s="1"/>
      <c r="E195" s="2" t="s">
        <v>637</v>
      </c>
      <c r="F195" s="2" t="s">
        <v>638</v>
      </c>
      <c r="G195" s="2">
        <v>0</v>
      </c>
      <c r="H195" s="2">
        <v>0</v>
      </c>
      <c r="I195" s="1">
        <v>0</v>
      </c>
      <c r="J195" s="3" t="s">
        <v>17</v>
      </c>
      <c r="K195" s="2" t="str">
        <f>J195*2806.49</f>
        <v>0</v>
      </c>
      <c r="L195" s="5"/>
    </row>
    <row r="196" spans="1:12" customHeight="1" ht="105" outlineLevel="4">
      <c r="A196" s="1"/>
      <c r="B196" s="1">
        <v>929947</v>
      </c>
      <c r="C196" s="1" t="s">
        <v>639</v>
      </c>
      <c r="D196" s="1"/>
      <c r="E196" s="2" t="s">
        <v>640</v>
      </c>
      <c r="F196" s="2" t="s">
        <v>641</v>
      </c>
      <c r="G196" s="2" t="s">
        <v>82</v>
      </c>
      <c r="H196" s="2">
        <v>0</v>
      </c>
      <c r="I196" s="1">
        <v>0</v>
      </c>
      <c r="J196" s="3" t="s">
        <v>17</v>
      </c>
      <c r="K196" s="2" t="str">
        <f>J196*12.53</f>
        <v>0</v>
      </c>
      <c r="L196" s="5"/>
    </row>
    <row r="197" spans="1:12" customHeight="1" ht="105" outlineLevel="4">
      <c r="A197" s="1"/>
      <c r="B197" s="1">
        <v>929948</v>
      </c>
      <c r="C197" s="1" t="s">
        <v>642</v>
      </c>
      <c r="D197" s="1"/>
      <c r="E197" s="2" t="s">
        <v>643</v>
      </c>
      <c r="F197" s="2" t="s">
        <v>644</v>
      </c>
      <c r="G197" s="2" t="s">
        <v>69</v>
      </c>
      <c r="H197" s="2">
        <v>0</v>
      </c>
      <c r="I197" s="1">
        <v>0</v>
      </c>
      <c r="J197" s="3" t="s">
        <v>17</v>
      </c>
      <c r="K197" s="2" t="str">
        <f>J197*17.50</f>
        <v>0</v>
      </c>
      <c r="L197" s="5"/>
    </row>
    <row r="198" spans="1:12" customHeight="1" ht="105" outlineLevel="4">
      <c r="A198" s="1"/>
      <c r="B198" s="1">
        <v>929949</v>
      </c>
      <c r="C198" s="1" t="s">
        <v>645</v>
      </c>
      <c r="D198" s="1"/>
      <c r="E198" s="2" t="s">
        <v>646</v>
      </c>
      <c r="F198" s="2" t="s">
        <v>60</v>
      </c>
      <c r="G198" s="2" t="s">
        <v>69</v>
      </c>
      <c r="H198" s="2">
        <v>0</v>
      </c>
      <c r="I198" s="1">
        <v>0</v>
      </c>
      <c r="J198" s="3" t="s">
        <v>17</v>
      </c>
      <c r="K198" s="2" t="str">
        <f>J198*23.54</f>
        <v>0</v>
      </c>
      <c r="L198" s="5"/>
    </row>
    <row r="199" spans="1:12" customHeight="1" ht="105" outlineLevel="4">
      <c r="A199" s="1"/>
      <c r="B199" s="1">
        <v>929950</v>
      </c>
      <c r="C199" s="1" t="s">
        <v>647</v>
      </c>
      <c r="D199" s="1" t="s">
        <v>648</v>
      </c>
      <c r="E199" s="2" t="s">
        <v>649</v>
      </c>
      <c r="F199" s="2" t="s">
        <v>650</v>
      </c>
      <c r="G199" s="2" t="s">
        <v>34</v>
      </c>
      <c r="H199" s="2">
        <v>0</v>
      </c>
      <c r="I199" s="1">
        <v>0</v>
      </c>
      <c r="J199" s="3" t="s">
        <v>17</v>
      </c>
      <c r="K199" s="2" t="str">
        <f>J199*12.10</f>
        <v>0</v>
      </c>
      <c r="L199" s="5"/>
    </row>
    <row r="200" spans="1:12" customHeight="1" ht="105" outlineLevel="4">
      <c r="A200" s="1"/>
      <c r="B200" s="1">
        <v>929951</v>
      </c>
      <c r="C200" s="1" t="s">
        <v>651</v>
      </c>
      <c r="D200" s="1"/>
      <c r="E200" s="2" t="s">
        <v>652</v>
      </c>
      <c r="F200" s="2" t="s">
        <v>653</v>
      </c>
      <c r="G200" s="2" t="s">
        <v>82</v>
      </c>
      <c r="H200" s="2">
        <v>0</v>
      </c>
      <c r="I200" s="1">
        <v>0</v>
      </c>
      <c r="J200" s="3" t="s">
        <v>17</v>
      </c>
      <c r="K200" s="2" t="str">
        <f>J200*17.06</f>
        <v>0</v>
      </c>
      <c r="L200" s="5"/>
    </row>
    <row r="201" spans="1:12" customHeight="1" ht="105" outlineLevel="4">
      <c r="A201" s="1"/>
      <c r="B201" s="1">
        <v>929952</v>
      </c>
      <c r="C201" s="1" t="s">
        <v>654</v>
      </c>
      <c r="D201" s="1"/>
      <c r="E201" s="2" t="s">
        <v>655</v>
      </c>
      <c r="F201" s="2" t="s">
        <v>656</v>
      </c>
      <c r="G201" s="2" t="s">
        <v>69</v>
      </c>
      <c r="H201" s="2">
        <v>0</v>
      </c>
      <c r="I201" s="1">
        <v>0</v>
      </c>
      <c r="J201" s="3" t="s">
        <v>17</v>
      </c>
      <c r="K201" s="2" t="str">
        <f>J201*15.77</f>
        <v>0</v>
      </c>
      <c r="L201" s="5"/>
    </row>
    <row r="202" spans="1:12" customHeight="1" ht="105" outlineLevel="4">
      <c r="A202" s="1"/>
      <c r="B202" s="1">
        <v>929953</v>
      </c>
      <c r="C202" s="1" t="s">
        <v>657</v>
      </c>
      <c r="D202" s="1"/>
      <c r="E202" s="2" t="s">
        <v>658</v>
      </c>
      <c r="F202" s="2" t="s">
        <v>659</v>
      </c>
      <c r="G202" s="2" t="s">
        <v>82</v>
      </c>
      <c r="H202" s="2">
        <v>0</v>
      </c>
      <c r="I202" s="1">
        <v>0</v>
      </c>
      <c r="J202" s="3" t="s">
        <v>17</v>
      </c>
      <c r="K202" s="2" t="str">
        <f>J202*18.58</f>
        <v>0</v>
      </c>
      <c r="L202" s="5"/>
    </row>
    <row r="203" spans="1:12" customHeight="1" ht="105" outlineLevel="4">
      <c r="A203" s="1"/>
      <c r="B203" s="1">
        <v>929954</v>
      </c>
      <c r="C203" s="1" t="s">
        <v>660</v>
      </c>
      <c r="D203" s="1"/>
      <c r="E203" s="2" t="s">
        <v>661</v>
      </c>
      <c r="F203" s="2" t="s">
        <v>662</v>
      </c>
      <c r="G203" s="2" t="s">
        <v>82</v>
      </c>
      <c r="H203" s="2">
        <v>0</v>
      </c>
      <c r="I203" s="1">
        <v>0</v>
      </c>
      <c r="J203" s="3" t="s">
        <v>17</v>
      </c>
      <c r="K203" s="2" t="str">
        <f>J203*23.11</f>
        <v>0</v>
      </c>
      <c r="L203" s="5"/>
    </row>
    <row r="204" spans="1:12" customHeight="1" ht="105" outlineLevel="4">
      <c r="A204" s="1"/>
      <c r="B204" s="1">
        <v>929955</v>
      </c>
      <c r="C204" s="1" t="s">
        <v>663</v>
      </c>
      <c r="D204" s="1"/>
      <c r="E204" s="2" t="s">
        <v>664</v>
      </c>
      <c r="F204" s="2" t="s">
        <v>665</v>
      </c>
      <c r="G204" s="2" t="s">
        <v>16</v>
      </c>
      <c r="H204" s="2">
        <v>0</v>
      </c>
      <c r="I204" s="1">
        <v>0</v>
      </c>
      <c r="J204" s="3" t="s">
        <v>17</v>
      </c>
      <c r="K204" s="2" t="str">
        <f>J204*104.40</f>
        <v>0</v>
      </c>
      <c r="L204" s="5"/>
    </row>
    <row r="205" spans="1:12" customHeight="1" ht="105" outlineLevel="4">
      <c r="A205" s="1"/>
      <c r="B205" s="1">
        <v>929956</v>
      </c>
      <c r="C205" s="1" t="s">
        <v>666</v>
      </c>
      <c r="D205" s="1"/>
      <c r="E205" s="2" t="s">
        <v>667</v>
      </c>
      <c r="F205" s="2" t="s">
        <v>668</v>
      </c>
      <c r="G205" s="2" t="s">
        <v>34</v>
      </c>
      <c r="H205" s="2">
        <v>0</v>
      </c>
      <c r="I205" s="1">
        <v>0</v>
      </c>
      <c r="J205" s="3" t="s">
        <v>17</v>
      </c>
      <c r="K205" s="2" t="str">
        <f>J205*107.35</f>
        <v>0</v>
      </c>
      <c r="L205" s="5"/>
    </row>
    <row r="206" spans="1:12" customHeight="1" ht="105" outlineLevel="4">
      <c r="A206" s="1"/>
      <c r="B206" s="1">
        <v>929957</v>
      </c>
      <c r="C206" s="1" t="s">
        <v>669</v>
      </c>
      <c r="D206" s="1"/>
      <c r="E206" s="2" t="s">
        <v>670</v>
      </c>
      <c r="F206" s="2" t="s">
        <v>671</v>
      </c>
      <c r="G206" s="2" t="s">
        <v>34</v>
      </c>
      <c r="H206" s="2">
        <v>0</v>
      </c>
      <c r="I206" s="1">
        <v>0</v>
      </c>
      <c r="J206" s="3" t="s">
        <v>17</v>
      </c>
      <c r="K206" s="2" t="str">
        <f>J206*107.57</f>
        <v>0</v>
      </c>
      <c r="L206" s="5"/>
    </row>
    <row r="207" spans="1:12" customHeight="1" ht="105" outlineLevel="4">
      <c r="A207" s="1"/>
      <c r="B207" s="1">
        <v>929958</v>
      </c>
      <c r="C207" s="1" t="s">
        <v>672</v>
      </c>
      <c r="D207" s="1"/>
      <c r="E207" s="2" t="s">
        <v>673</v>
      </c>
      <c r="F207" s="2" t="s">
        <v>674</v>
      </c>
      <c r="G207" s="2" t="s">
        <v>34</v>
      </c>
      <c r="H207" s="2">
        <v>0</v>
      </c>
      <c r="I207" s="1">
        <v>0</v>
      </c>
      <c r="J207" s="3" t="s">
        <v>17</v>
      </c>
      <c r="K207" s="2" t="str">
        <f>J207*103.46</f>
        <v>0</v>
      </c>
      <c r="L207" s="5"/>
    </row>
    <row r="208" spans="1:12" customHeight="1" ht="105" outlineLevel="4">
      <c r="A208" s="1"/>
      <c r="B208" s="1">
        <v>929959</v>
      </c>
      <c r="C208" s="1" t="s">
        <v>675</v>
      </c>
      <c r="D208" s="1"/>
      <c r="E208" s="2" t="s">
        <v>676</v>
      </c>
      <c r="F208" s="2" t="s">
        <v>677</v>
      </c>
      <c r="G208" s="2" t="s">
        <v>34</v>
      </c>
      <c r="H208" s="2">
        <v>0</v>
      </c>
      <c r="I208" s="1">
        <v>0</v>
      </c>
      <c r="J208" s="3" t="s">
        <v>17</v>
      </c>
      <c r="K208" s="2" t="str">
        <f>J208*101.95</f>
        <v>0</v>
      </c>
      <c r="L208" s="5"/>
    </row>
    <row r="209" spans="1:12" customHeight="1" ht="105" outlineLevel="4">
      <c r="A209" s="1"/>
      <c r="B209" s="1">
        <v>929960</v>
      </c>
      <c r="C209" s="1" t="s">
        <v>678</v>
      </c>
      <c r="D209" s="1"/>
      <c r="E209" s="2" t="s">
        <v>679</v>
      </c>
      <c r="F209" s="2" t="s">
        <v>680</v>
      </c>
      <c r="G209" s="2" t="s">
        <v>69</v>
      </c>
      <c r="H209" s="2">
        <v>0</v>
      </c>
      <c r="I209" s="1">
        <v>0</v>
      </c>
      <c r="J209" s="3" t="s">
        <v>17</v>
      </c>
      <c r="K209" s="2" t="str">
        <f>J209*119.23</f>
        <v>0</v>
      </c>
      <c r="L209" s="5"/>
    </row>
    <row r="210" spans="1:12" customHeight="1" ht="105" outlineLevel="4">
      <c r="A210" s="1"/>
      <c r="B210" s="1">
        <v>929961</v>
      </c>
      <c r="C210" s="1" t="s">
        <v>681</v>
      </c>
      <c r="D210" s="1"/>
      <c r="E210" s="2" t="s">
        <v>682</v>
      </c>
      <c r="F210" s="2" t="s">
        <v>683</v>
      </c>
      <c r="G210" s="2" t="s">
        <v>69</v>
      </c>
      <c r="H210" s="2">
        <v>0</v>
      </c>
      <c r="I210" s="1">
        <v>0</v>
      </c>
      <c r="J210" s="3" t="s">
        <v>17</v>
      </c>
      <c r="K210" s="2" t="str">
        <f>J210*212.11</f>
        <v>0</v>
      </c>
      <c r="L210" s="5"/>
    </row>
    <row r="211" spans="1:12" customHeight="1" ht="105" outlineLevel="4">
      <c r="A211" s="1"/>
      <c r="B211" s="1">
        <v>929962</v>
      </c>
      <c r="C211" s="1" t="s">
        <v>684</v>
      </c>
      <c r="D211" s="1"/>
      <c r="E211" s="2" t="s">
        <v>685</v>
      </c>
      <c r="F211" s="2" t="s">
        <v>686</v>
      </c>
      <c r="G211" s="2" t="s">
        <v>16</v>
      </c>
      <c r="H211" s="2">
        <v>0</v>
      </c>
      <c r="I211" s="1">
        <v>0</v>
      </c>
      <c r="J211" s="3" t="s">
        <v>17</v>
      </c>
      <c r="K211" s="2" t="str">
        <f>J211*128.70</f>
        <v>0</v>
      </c>
      <c r="L211" s="5"/>
    </row>
    <row r="212" spans="1:12" customHeight="1" ht="105" outlineLevel="4">
      <c r="A212" s="1"/>
      <c r="B212" s="1">
        <v>929963</v>
      </c>
      <c r="C212" s="1" t="s">
        <v>687</v>
      </c>
      <c r="D212" s="1"/>
      <c r="E212" s="2" t="s">
        <v>688</v>
      </c>
      <c r="F212" s="2" t="s">
        <v>689</v>
      </c>
      <c r="G212" s="2" t="s">
        <v>69</v>
      </c>
      <c r="H212" s="2">
        <v>0</v>
      </c>
      <c r="I212" s="1">
        <v>0</v>
      </c>
      <c r="J212" s="3" t="s">
        <v>17</v>
      </c>
      <c r="K212" s="2" t="str">
        <f>J212*136.08</f>
        <v>0</v>
      </c>
      <c r="L212" s="5"/>
    </row>
    <row r="213" spans="1:12" customHeight="1" ht="105" outlineLevel="4">
      <c r="A213" s="1"/>
      <c r="B213" s="1">
        <v>929964</v>
      </c>
      <c r="C213" s="1" t="s">
        <v>690</v>
      </c>
      <c r="D213" s="1"/>
      <c r="E213" s="2" t="s">
        <v>691</v>
      </c>
      <c r="F213" s="2" t="s">
        <v>692</v>
      </c>
      <c r="G213" s="2" t="s">
        <v>16</v>
      </c>
      <c r="H213" s="2">
        <v>0</v>
      </c>
      <c r="I213" s="1">
        <v>0</v>
      </c>
      <c r="J213" s="3" t="s">
        <v>17</v>
      </c>
      <c r="K213" s="2" t="str">
        <f>J213*107.14</f>
        <v>0</v>
      </c>
      <c r="L213" s="5"/>
    </row>
    <row r="214" spans="1:12" customHeight="1" ht="105" outlineLevel="4">
      <c r="A214" s="1"/>
      <c r="B214" s="1">
        <v>929965</v>
      </c>
      <c r="C214" s="1" t="s">
        <v>693</v>
      </c>
      <c r="D214" s="1"/>
      <c r="E214" s="2" t="s">
        <v>694</v>
      </c>
      <c r="F214" s="2" t="s">
        <v>695</v>
      </c>
      <c r="G214" s="2" t="s">
        <v>34</v>
      </c>
      <c r="H214" s="2">
        <v>0</v>
      </c>
      <c r="I214" s="1">
        <v>0</v>
      </c>
      <c r="J214" s="3" t="s">
        <v>17</v>
      </c>
      <c r="K214" s="2" t="str">
        <f>J214*130.03</f>
        <v>0</v>
      </c>
      <c r="L214" s="5"/>
    </row>
    <row r="215" spans="1:12" customHeight="1" ht="105" outlineLevel="4">
      <c r="A215" s="1"/>
      <c r="B215" s="1">
        <v>929966</v>
      </c>
      <c r="C215" s="1" t="s">
        <v>696</v>
      </c>
      <c r="D215" s="1"/>
      <c r="E215" s="2" t="s">
        <v>697</v>
      </c>
      <c r="F215" s="2" t="s">
        <v>698</v>
      </c>
      <c r="G215" s="2" t="s">
        <v>34</v>
      </c>
      <c r="H215" s="2">
        <v>0</v>
      </c>
      <c r="I215" s="1">
        <v>0</v>
      </c>
      <c r="J215" s="3" t="s">
        <v>17</v>
      </c>
      <c r="K215" s="2" t="str">
        <f>J215*127.44</f>
        <v>0</v>
      </c>
      <c r="L215" s="5"/>
    </row>
    <row r="216" spans="1:12" customHeight="1" ht="105" outlineLevel="4">
      <c r="A216" s="1"/>
      <c r="B216" s="1">
        <v>929967</v>
      </c>
      <c r="C216" s="1" t="s">
        <v>699</v>
      </c>
      <c r="D216" s="1"/>
      <c r="E216" s="2" t="s">
        <v>700</v>
      </c>
      <c r="F216" s="2" t="s">
        <v>701</v>
      </c>
      <c r="G216" s="2" t="s">
        <v>69</v>
      </c>
      <c r="H216" s="2">
        <v>0</v>
      </c>
      <c r="I216" s="1">
        <v>0</v>
      </c>
      <c r="J216" s="3" t="s">
        <v>17</v>
      </c>
      <c r="K216" s="2" t="str">
        <f>J216*153.36</f>
        <v>0</v>
      </c>
      <c r="L216" s="5"/>
    </row>
    <row r="217" spans="1:12" customHeight="1" ht="105" outlineLevel="4">
      <c r="A217" s="1"/>
      <c r="B217" s="1">
        <v>929968</v>
      </c>
      <c r="C217" s="1" t="s">
        <v>702</v>
      </c>
      <c r="D217" s="1"/>
      <c r="E217" s="2" t="s">
        <v>703</v>
      </c>
      <c r="F217" s="2" t="s">
        <v>704</v>
      </c>
      <c r="G217" s="2" t="s">
        <v>69</v>
      </c>
      <c r="H217" s="2">
        <v>0</v>
      </c>
      <c r="I217" s="1">
        <v>0</v>
      </c>
      <c r="J217" s="3" t="s">
        <v>17</v>
      </c>
      <c r="K217" s="2" t="str">
        <f>J217*231.98</f>
        <v>0</v>
      </c>
      <c r="L217" s="5"/>
    </row>
    <row r="218" spans="1:12" customHeight="1" ht="105" outlineLevel="4">
      <c r="A218" s="1"/>
      <c r="B218" s="1">
        <v>929969</v>
      </c>
      <c r="C218" s="1" t="s">
        <v>705</v>
      </c>
      <c r="D218" s="1"/>
      <c r="E218" s="2" t="s">
        <v>706</v>
      </c>
      <c r="F218" s="2" t="s">
        <v>707</v>
      </c>
      <c r="G218" s="2">
        <v>0</v>
      </c>
      <c r="H218" s="2">
        <v>0</v>
      </c>
      <c r="I218" s="1">
        <v>0</v>
      </c>
      <c r="J218" s="3" t="s">
        <v>17</v>
      </c>
      <c r="K218" s="2" t="str">
        <f>J218*439.11</f>
        <v>0</v>
      </c>
      <c r="L218" s="5"/>
    </row>
    <row r="219" spans="1:12" customHeight="1" ht="105" outlineLevel="4">
      <c r="A219" s="1"/>
      <c r="B219" s="1">
        <v>929970</v>
      </c>
      <c r="C219" s="1" t="s">
        <v>708</v>
      </c>
      <c r="D219" s="1"/>
      <c r="E219" s="2" t="s">
        <v>709</v>
      </c>
      <c r="F219" s="2" t="s">
        <v>393</v>
      </c>
      <c r="G219" s="2">
        <v>0</v>
      </c>
      <c r="H219" s="2">
        <v>0</v>
      </c>
      <c r="I219" s="1">
        <v>0</v>
      </c>
      <c r="J219" s="3" t="s">
        <v>17</v>
      </c>
      <c r="K219" s="2" t="str">
        <f>J219*538.56</f>
        <v>0</v>
      </c>
      <c r="L219" s="5"/>
    </row>
    <row r="220" spans="1:12" customHeight="1" ht="105" outlineLevel="4">
      <c r="A220" s="1"/>
      <c r="B220" s="1">
        <v>929971</v>
      </c>
      <c r="C220" s="1" t="s">
        <v>710</v>
      </c>
      <c r="D220" s="1"/>
      <c r="E220" s="2" t="s">
        <v>711</v>
      </c>
      <c r="F220" s="2" t="s">
        <v>712</v>
      </c>
      <c r="G220" s="2" t="s">
        <v>16</v>
      </c>
      <c r="H220" s="2">
        <v>0</v>
      </c>
      <c r="I220" s="1">
        <v>0</v>
      </c>
      <c r="J220" s="3" t="s">
        <v>17</v>
      </c>
      <c r="K220" s="2" t="str">
        <f>J220*107.41</f>
        <v>0</v>
      </c>
      <c r="L220" s="5"/>
    </row>
    <row r="221" spans="1:12" customHeight="1" ht="105" outlineLevel="4">
      <c r="A221" s="1"/>
      <c r="B221" s="1">
        <v>929972</v>
      </c>
      <c r="C221" s="1" t="s">
        <v>713</v>
      </c>
      <c r="D221" s="1"/>
      <c r="E221" s="2" t="s">
        <v>714</v>
      </c>
      <c r="F221" s="2" t="s">
        <v>715</v>
      </c>
      <c r="G221" s="2" t="s">
        <v>69</v>
      </c>
      <c r="H221" s="2">
        <v>0</v>
      </c>
      <c r="I221" s="1">
        <v>0</v>
      </c>
      <c r="J221" s="3" t="s">
        <v>17</v>
      </c>
      <c r="K221" s="2" t="str">
        <f>J221*88.56</f>
        <v>0</v>
      </c>
      <c r="L221" s="5"/>
    </row>
    <row r="222" spans="1:12" customHeight="1" ht="105" outlineLevel="4">
      <c r="A222" s="1"/>
      <c r="B222" s="1">
        <v>929973</v>
      </c>
      <c r="C222" s="1" t="s">
        <v>716</v>
      </c>
      <c r="D222" s="1"/>
      <c r="E222" s="2" t="s">
        <v>717</v>
      </c>
      <c r="F222" s="2" t="s">
        <v>718</v>
      </c>
      <c r="G222" s="2" t="s">
        <v>34</v>
      </c>
      <c r="H222" s="2">
        <v>0</v>
      </c>
      <c r="I222" s="1">
        <v>0</v>
      </c>
      <c r="J222" s="3" t="s">
        <v>17</v>
      </c>
      <c r="K222" s="2" t="str">
        <f>J222*228.74</f>
        <v>0</v>
      </c>
      <c r="L222" s="5"/>
    </row>
    <row r="223" spans="1:12" customHeight="1" ht="105" outlineLevel="4">
      <c r="A223" s="1"/>
      <c r="B223" s="1">
        <v>929974</v>
      </c>
      <c r="C223" s="1" t="s">
        <v>719</v>
      </c>
      <c r="D223" s="1"/>
      <c r="E223" s="2" t="s">
        <v>720</v>
      </c>
      <c r="F223" s="2" t="s">
        <v>721</v>
      </c>
      <c r="G223" s="2" t="s">
        <v>34</v>
      </c>
      <c r="H223" s="2">
        <v>0</v>
      </c>
      <c r="I223" s="1">
        <v>0</v>
      </c>
      <c r="J223" s="3" t="s">
        <v>17</v>
      </c>
      <c r="K223" s="2" t="str">
        <f>J223*140.36</f>
        <v>0</v>
      </c>
      <c r="L223" s="5"/>
    </row>
    <row r="224" spans="1:12" customHeight="1" ht="105" outlineLevel="4">
      <c r="A224" s="1"/>
      <c r="B224" s="1">
        <v>929975</v>
      </c>
      <c r="C224" s="1" t="s">
        <v>722</v>
      </c>
      <c r="D224" s="1"/>
      <c r="E224" s="2" t="s">
        <v>723</v>
      </c>
      <c r="F224" s="2" t="s">
        <v>724</v>
      </c>
      <c r="G224" s="2">
        <v>0</v>
      </c>
      <c r="H224" s="2">
        <v>0</v>
      </c>
      <c r="I224" s="1">
        <v>0</v>
      </c>
      <c r="J224" s="3" t="s">
        <v>17</v>
      </c>
      <c r="K224" s="2" t="str">
        <f>J224*97.63</f>
        <v>0</v>
      </c>
      <c r="L224" s="5"/>
    </row>
    <row r="225" spans="1:12" customHeight="1" ht="105" outlineLevel="4">
      <c r="A225" s="1"/>
      <c r="B225" s="1">
        <v>929976</v>
      </c>
      <c r="C225" s="1" t="s">
        <v>725</v>
      </c>
      <c r="D225" s="1"/>
      <c r="E225" s="2" t="s">
        <v>726</v>
      </c>
      <c r="F225" s="2" t="s">
        <v>727</v>
      </c>
      <c r="G225" s="2">
        <v>2</v>
      </c>
      <c r="H225" s="2">
        <v>0</v>
      </c>
      <c r="I225" s="1">
        <v>0</v>
      </c>
      <c r="J225" s="3" t="s">
        <v>17</v>
      </c>
      <c r="K225" s="2" t="str">
        <f>J225*374.85</f>
        <v>0</v>
      </c>
      <c r="L225" s="5"/>
    </row>
    <row r="226" spans="1:12" customHeight="1" ht="105" outlineLevel="4">
      <c r="A226" s="1"/>
      <c r="B226" s="1">
        <v>929977</v>
      </c>
      <c r="C226" s="1" t="s">
        <v>728</v>
      </c>
      <c r="D226" s="1"/>
      <c r="E226" s="2" t="s">
        <v>729</v>
      </c>
      <c r="F226" s="2" t="s">
        <v>425</v>
      </c>
      <c r="G226" s="2" t="s">
        <v>82</v>
      </c>
      <c r="H226" s="2">
        <v>0</v>
      </c>
      <c r="I226" s="1">
        <v>0</v>
      </c>
      <c r="J226" s="3" t="s">
        <v>17</v>
      </c>
      <c r="K226" s="2" t="str">
        <f>J226*440.64</f>
        <v>0</v>
      </c>
      <c r="L226" s="5"/>
    </row>
    <row r="227" spans="1:12" customHeight="1" ht="105" outlineLevel="4">
      <c r="A227" s="1"/>
      <c r="B227" s="1">
        <v>929978</v>
      </c>
      <c r="C227" s="1" t="s">
        <v>730</v>
      </c>
      <c r="D227" s="1"/>
      <c r="E227" s="2" t="s">
        <v>731</v>
      </c>
      <c r="F227" s="2" t="s">
        <v>732</v>
      </c>
      <c r="G227" s="2" t="s">
        <v>16</v>
      </c>
      <c r="H227" s="2">
        <v>0</v>
      </c>
      <c r="I227" s="1">
        <v>0</v>
      </c>
      <c r="J227" s="3" t="s">
        <v>17</v>
      </c>
      <c r="K227" s="2" t="str">
        <f>J227*203.47</f>
        <v>0</v>
      </c>
      <c r="L227" s="5"/>
    </row>
    <row r="228" spans="1:12" customHeight="1" ht="105" outlineLevel="4">
      <c r="A228" s="1"/>
      <c r="B228" s="1">
        <v>929979</v>
      </c>
      <c r="C228" s="1" t="s">
        <v>733</v>
      </c>
      <c r="D228" s="1"/>
      <c r="E228" s="2" t="s">
        <v>734</v>
      </c>
      <c r="F228" s="2" t="s">
        <v>735</v>
      </c>
      <c r="G228" s="2" t="s">
        <v>69</v>
      </c>
      <c r="H228" s="2">
        <v>0</v>
      </c>
      <c r="I228" s="1">
        <v>0</v>
      </c>
      <c r="J228" s="3" t="s">
        <v>17</v>
      </c>
      <c r="K228" s="2" t="str">
        <f>J228*159.62</f>
        <v>0</v>
      </c>
      <c r="L228" s="5"/>
    </row>
    <row r="229" spans="1:12" customHeight="1" ht="105" outlineLevel="4">
      <c r="A229" s="1"/>
      <c r="B229" s="1">
        <v>929980</v>
      </c>
      <c r="C229" s="1" t="s">
        <v>736</v>
      </c>
      <c r="D229" s="1"/>
      <c r="E229" s="2" t="s">
        <v>737</v>
      </c>
      <c r="F229" s="2" t="s">
        <v>738</v>
      </c>
      <c r="G229" s="2" t="s">
        <v>69</v>
      </c>
      <c r="H229" s="2">
        <v>0</v>
      </c>
      <c r="I229" s="1">
        <v>0</v>
      </c>
      <c r="J229" s="3" t="s">
        <v>17</v>
      </c>
      <c r="K229" s="2" t="str">
        <f>J229*225.72</f>
        <v>0</v>
      </c>
      <c r="L229" s="5"/>
    </row>
    <row r="230" spans="1:12" customHeight="1" ht="105" outlineLevel="4">
      <c r="A230" s="1"/>
      <c r="B230" s="1">
        <v>929981</v>
      </c>
      <c r="C230" s="1" t="s">
        <v>739</v>
      </c>
      <c r="D230" s="1"/>
      <c r="E230" s="2" t="s">
        <v>740</v>
      </c>
      <c r="F230" s="2" t="s">
        <v>741</v>
      </c>
      <c r="G230" s="2" t="s">
        <v>82</v>
      </c>
      <c r="H230" s="2">
        <v>0</v>
      </c>
      <c r="I230" s="1">
        <v>0</v>
      </c>
      <c r="J230" s="3" t="s">
        <v>17</v>
      </c>
      <c r="K230" s="2" t="str">
        <f>J230*237.17</f>
        <v>0</v>
      </c>
      <c r="L230" s="5"/>
    </row>
    <row r="231" spans="1:12" customHeight="1" ht="105" outlineLevel="4">
      <c r="A231" s="1"/>
      <c r="B231" s="1">
        <v>929982</v>
      </c>
      <c r="C231" s="1" t="s">
        <v>742</v>
      </c>
      <c r="D231" s="1"/>
      <c r="E231" s="2" t="s">
        <v>743</v>
      </c>
      <c r="F231" s="2" t="s">
        <v>744</v>
      </c>
      <c r="G231" s="2" t="s">
        <v>82</v>
      </c>
      <c r="H231" s="2">
        <v>0</v>
      </c>
      <c r="I231" s="1">
        <v>0</v>
      </c>
      <c r="J231" s="3" t="s">
        <v>17</v>
      </c>
      <c r="K231" s="2" t="str">
        <f>J231*379.08</f>
        <v>0</v>
      </c>
      <c r="L231" s="5"/>
    </row>
    <row r="232" spans="1:12" customHeight="1" ht="105" outlineLevel="4">
      <c r="A232" s="1"/>
      <c r="B232" s="1">
        <v>929983</v>
      </c>
      <c r="C232" s="1" t="s">
        <v>745</v>
      </c>
      <c r="D232" s="1"/>
      <c r="E232" s="2" t="s">
        <v>746</v>
      </c>
      <c r="F232" s="2" t="s">
        <v>747</v>
      </c>
      <c r="G232" s="2">
        <v>4</v>
      </c>
      <c r="H232" s="2">
        <v>0</v>
      </c>
      <c r="I232" s="1">
        <v>0</v>
      </c>
      <c r="J232" s="3" t="s">
        <v>17</v>
      </c>
      <c r="K232" s="2" t="str">
        <f>J232*398.74</f>
        <v>0</v>
      </c>
      <c r="L232" s="5"/>
    </row>
    <row r="233" spans="1:12" customHeight="1" ht="105" outlineLevel="4">
      <c r="A233" s="1"/>
      <c r="B233" s="1">
        <v>929984</v>
      </c>
      <c r="C233" s="1" t="s">
        <v>748</v>
      </c>
      <c r="D233" s="1"/>
      <c r="E233" s="2" t="s">
        <v>749</v>
      </c>
      <c r="F233" s="2" t="s">
        <v>750</v>
      </c>
      <c r="G233" s="2" t="s">
        <v>82</v>
      </c>
      <c r="H233" s="2">
        <v>0</v>
      </c>
      <c r="I233" s="1">
        <v>0</v>
      </c>
      <c r="J233" s="3" t="s">
        <v>17</v>
      </c>
      <c r="K233" s="2" t="str">
        <f>J233*541.51</f>
        <v>0</v>
      </c>
      <c r="L233" s="5"/>
    </row>
    <row r="234" spans="1:12" customHeight="1" ht="105" outlineLevel="4">
      <c r="A234" s="1"/>
      <c r="B234" s="1">
        <v>929985</v>
      </c>
      <c r="C234" s="1" t="s">
        <v>751</v>
      </c>
      <c r="D234" s="1"/>
      <c r="E234" s="2" t="s">
        <v>752</v>
      </c>
      <c r="F234" s="2" t="s">
        <v>753</v>
      </c>
      <c r="G234" s="2" t="s">
        <v>21</v>
      </c>
      <c r="H234" s="2">
        <v>0</v>
      </c>
      <c r="I234" s="1">
        <v>0</v>
      </c>
      <c r="J234" s="3" t="s">
        <v>17</v>
      </c>
      <c r="K234" s="2" t="str">
        <f>J234*10.26</f>
        <v>0</v>
      </c>
      <c r="L234" s="5"/>
    </row>
    <row r="235" spans="1:12" customHeight="1" ht="105" outlineLevel="4">
      <c r="A235" s="1"/>
      <c r="B235" s="1">
        <v>929986</v>
      </c>
      <c r="C235" s="1" t="s">
        <v>754</v>
      </c>
      <c r="D235" s="1"/>
      <c r="E235" s="2" t="s">
        <v>755</v>
      </c>
      <c r="F235" s="2" t="s">
        <v>756</v>
      </c>
      <c r="G235" s="2" t="s">
        <v>21</v>
      </c>
      <c r="H235" s="2">
        <v>0</v>
      </c>
      <c r="I235" s="1">
        <v>0</v>
      </c>
      <c r="J235" s="3" t="s">
        <v>17</v>
      </c>
      <c r="K235" s="2" t="str">
        <f>J235*17.74</f>
        <v>0</v>
      </c>
      <c r="L235" s="5"/>
    </row>
    <row r="236" spans="1:12" customHeight="1" ht="105" outlineLevel="4">
      <c r="A236" s="1"/>
      <c r="B236" s="1">
        <v>929987</v>
      </c>
      <c r="C236" s="1" t="s">
        <v>757</v>
      </c>
      <c r="D236" s="1"/>
      <c r="E236" s="2" t="s">
        <v>758</v>
      </c>
      <c r="F236" s="2" t="s">
        <v>759</v>
      </c>
      <c r="G236" s="2" t="s">
        <v>16</v>
      </c>
      <c r="H236" s="2">
        <v>0</v>
      </c>
      <c r="I236" s="1">
        <v>0</v>
      </c>
      <c r="J236" s="3" t="s">
        <v>17</v>
      </c>
      <c r="K236" s="2" t="str">
        <f>J236*33.88</f>
        <v>0</v>
      </c>
      <c r="L236" s="5"/>
    </row>
    <row r="237" spans="1:12" customHeight="1" ht="105" outlineLevel="4">
      <c r="A237" s="1"/>
      <c r="B237" s="1">
        <v>929988</v>
      </c>
      <c r="C237" s="1" t="s">
        <v>760</v>
      </c>
      <c r="D237" s="1"/>
      <c r="E237" s="2" t="s">
        <v>761</v>
      </c>
      <c r="F237" s="2" t="s">
        <v>762</v>
      </c>
      <c r="G237" s="2" t="s">
        <v>16</v>
      </c>
      <c r="H237" s="2">
        <v>0</v>
      </c>
      <c r="I237" s="1">
        <v>0</v>
      </c>
      <c r="J237" s="3" t="s">
        <v>17</v>
      </c>
      <c r="K237" s="2" t="str">
        <f>J237*54.00</f>
        <v>0</v>
      </c>
      <c r="L237" s="5"/>
    </row>
    <row r="238" spans="1:12" customHeight="1" ht="105" outlineLevel="4">
      <c r="A238" s="1"/>
      <c r="B238" s="1">
        <v>929989</v>
      </c>
      <c r="C238" s="1" t="s">
        <v>763</v>
      </c>
      <c r="D238" s="1"/>
      <c r="E238" s="2" t="s">
        <v>764</v>
      </c>
      <c r="F238" s="2" t="s">
        <v>765</v>
      </c>
      <c r="G238" s="2" t="s">
        <v>69</v>
      </c>
      <c r="H238" s="2">
        <v>0</v>
      </c>
      <c r="I238" s="1">
        <v>0</v>
      </c>
      <c r="J238" s="3" t="s">
        <v>17</v>
      </c>
      <c r="K238" s="2" t="str">
        <f>J238*97.42</f>
        <v>0</v>
      </c>
      <c r="L238" s="5"/>
    </row>
    <row r="239" spans="1:12" customHeight="1" ht="105" outlineLevel="4">
      <c r="A239" s="1"/>
      <c r="B239" s="1">
        <v>929990</v>
      </c>
      <c r="C239" s="1" t="s">
        <v>766</v>
      </c>
      <c r="D239" s="1"/>
      <c r="E239" s="2" t="s">
        <v>767</v>
      </c>
      <c r="F239" s="2" t="s">
        <v>768</v>
      </c>
      <c r="G239" s="2" t="s">
        <v>82</v>
      </c>
      <c r="H239" s="2">
        <v>0</v>
      </c>
      <c r="I239" s="1">
        <v>0</v>
      </c>
      <c r="J239" s="3" t="s">
        <v>17</v>
      </c>
      <c r="K239" s="2" t="str">
        <f>J239*183.38</f>
        <v>0</v>
      </c>
      <c r="L239" s="5"/>
    </row>
    <row r="240" spans="1:12" customHeight="1" ht="105" outlineLevel="4">
      <c r="A240" s="1"/>
      <c r="B240" s="1">
        <v>929991</v>
      </c>
      <c r="C240" s="1" t="s">
        <v>769</v>
      </c>
      <c r="D240" s="1"/>
      <c r="E240" s="2" t="s">
        <v>770</v>
      </c>
      <c r="F240" s="2" t="s">
        <v>771</v>
      </c>
      <c r="G240" s="2">
        <v>0</v>
      </c>
      <c r="H240" s="2">
        <v>0</v>
      </c>
      <c r="I240" s="1">
        <v>0</v>
      </c>
      <c r="J240" s="3" t="s">
        <v>17</v>
      </c>
      <c r="K240" s="2" t="str">
        <f>J240*334.37</f>
        <v>0</v>
      </c>
      <c r="L240" s="5"/>
    </row>
    <row r="241" spans="1:12" customHeight="1" ht="105" outlineLevel="4">
      <c r="A241" s="1"/>
      <c r="B241" s="1">
        <v>929992</v>
      </c>
      <c r="C241" s="1" t="s">
        <v>772</v>
      </c>
      <c r="D241" s="1"/>
      <c r="E241" s="2" t="s">
        <v>773</v>
      </c>
      <c r="F241" s="2" t="s">
        <v>774</v>
      </c>
      <c r="G241" s="2">
        <v>0</v>
      </c>
      <c r="H241" s="2">
        <v>0</v>
      </c>
      <c r="I241" s="1">
        <v>0</v>
      </c>
      <c r="J241" s="3" t="s">
        <v>17</v>
      </c>
      <c r="K241" s="2" t="str">
        <f>J241*657.94</f>
        <v>0</v>
      </c>
      <c r="L241" s="5"/>
    </row>
    <row r="242" spans="1:12" customHeight="1" ht="105" outlineLevel="4">
      <c r="A242" s="1"/>
      <c r="B242" s="1">
        <v>929993</v>
      </c>
      <c r="C242" s="1" t="s">
        <v>775</v>
      </c>
      <c r="D242" s="1"/>
      <c r="E242" s="2" t="s">
        <v>776</v>
      </c>
      <c r="F242" s="2" t="s">
        <v>777</v>
      </c>
      <c r="G242" s="2">
        <v>1</v>
      </c>
      <c r="H242" s="2">
        <v>0</v>
      </c>
      <c r="I242" s="1">
        <v>0</v>
      </c>
      <c r="J242" s="3" t="s">
        <v>17</v>
      </c>
      <c r="K242" s="2" t="str">
        <f>J242*946.08</f>
        <v>0</v>
      </c>
      <c r="L242" s="5"/>
    </row>
    <row r="243" spans="1:12" customHeight="1" ht="105" outlineLevel="4">
      <c r="A243" s="1"/>
      <c r="B243" s="1">
        <v>929994</v>
      </c>
      <c r="C243" s="1" t="s">
        <v>778</v>
      </c>
      <c r="D243" s="1"/>
      <c r="E243" s="2" t="s">
        <v>779</v>
      </c>
      <c r="F243" s="2" t="s">
        <v>780</v>
      </c>
      <c r="G243" s="2">
        <v>0</v>
      </c>
      <c r="H243" s="2">
        <v>0</v>
      </c>
      <c r="I243" s="1">
        <v>0</v>
      </c>
      <c r="J243" s="3" t="s">
        <v>17</v>
      </c>
      <c r="K243" s="2" t="str">
        <f>J243*2014.85</f>
        <v>0</v>
      </c>
      <c r="L243" s="5"/>
    </row>
    <row r="244" spans="1:12" customHeight="1" ht="105" outlineLevel="4">
      <c r="A244" s="1"/>
      <c r="B244" s="1">
        <v>929995</v>
      </c>
      <c r="C244" s="1" t="s">
        <v>781</v>
      </c>
      <c r="D244" s="1"/>
      <c r="E244" s="2" t="s">
        <v>782</v>
      </c>
      <c r="F244" s="2" t="s">
        <v>783</v>
      </c>
      <c r="G244" s="2">
        <v>0</v>
      </c>
      <c r="H244" s="2">
        <v>0</v>
      </c>
      <c r="I244" s="1">
        <v>0</v>
      </c>
      <c r="J244" s="3" t="s">
        <v>17</v>
      </c>
      <c r="K244" s="2" t="str">
        <f>J244*2757.24</f>
        <v>0</v>
      </c>
      <c r="L244" s="5"/>
    </row>
    <row r="245" spans="1:12" customHeight="1" ht="105" outlineLevel="4">
      <c r="A245" s="1"/>
      <c r="B245" s="1">
        <v>929996</v>
      </c>
      <c r="C245" s="1" t="s">
        <v>784</v>
      </c>
      <c r="D245" s="1"/>
      <c r="E245" s="2" t="s">
        <v>785</v>
      </c>
      <c r="F245" s="2" t="s">
        <v>653</v>
      </c>
      <c r="G245" s="2" t="s">
        <v>21</v>
      </c>
      <c r="H245" s="2">
        <v>0</v>
      </c>
      <c r="I245" s="1">
        <v>0</v>
      </c>
      <c r="J245" s="3" t="s">
        <v>17</v>
      </c>
      <c r="K245" s="2" t="str">
        <f>J245*17.06</f>
        <v>0</v>
      </c>
      <c r="L245" s="5"/>
    </row>
    <row r="246" spans="1:12" customHeight="1" ht="105" outlineLevel="4">
      <c r="A246" s="1"/>
      <c r="B246" s="1">
        <v>929997</v>
      </c>
      <c r="C246" s="1" t="s">
        <v>786</v>
      </c>
      <c r="D246" s="1"/>
      <c r="E246" s="2" t="s">
        <v>787</v>
      </c>
      <c r="F246" s="2" t="s">
        <v>788</v>
      </c>
      <c r="G246" s="2" t="s">
        <v>34</v>
      </c>
      <c r="H246" s="2">
        <v>0</v>
      </c>
      <c r="I246" s="1">
        <v>0</v>
      </c>
      <c r="J246" s="3" t="s">
        <v>17</v>
      </c>
      <c r="K246" s="2" t="str">
        <f>J246*18.79</f>
        <v>0</v>
      </c>
      <c r="L246" s="5"/>
    </row>
    <row r="247" spans="1:12" customHeight="1" ht="105" outlineLevel="4">
      <c r="A247" s="1"/>
      <c r="B247" s="1">
        <v>929998</v>
      </c>
      <c r="C247" s="1" t="s">
        <v>789</v>
      </c>
      <c r="D247" s="1"/>
      <c r="E247" s="2" t="s">
        <v>790</v>
      </c>
      <c r="F247" s="2" t="s">
        <v>791</v>
      </c>
      <c r="G247" s="2" t="s">
        <v>16</v>
      </c>
      <c r="H247" s="2">
        <v>0</v>
      </c>
      <c r="I247" s="1">
        <v>0</v>
      </c>
      <c r="J247" s="3" t="s">
        <v>17</v>
      </c>
      <c r="K247" s="2" t="str">
        <f>J247*16.78</f>
        <v>0</v>
      </c>
      <c r="L247" s="5"/>
    </row>
    <row r="248" spans="1:12" customHeight="1" ht="105" outlineLevel="4">
      <c r="A248" s="1"/>
      <c r="B248" s="1">
        <v>929999</v>
      </c>
      <c r="C248" s="1" t="s">
        <v>792</v>
      </c>
      <c r="D248" s="1"/>
      <c r="E248" s="2" t="s">
        <v>793</v>
      </c>
      <c r="F248" s="2" t="s">
        <v>794</v>
      </c>
      <c r="G248" s="2" t="s">
        <v>34</v>
      </c>
      <c r="H248" s="2">
        <v>0</v>
      </c>
      <c r="I248" s="1">
        <v>0</v>
      </c>
      <c r="J248" s="3" t="s">
        <v>17</v>
      </c>
      <c r="K248" s="2" t="str">
        <f>J248*21.82</f>
        <v>0</v>
      </c>
      <c r="L248" s="5"/>
    </row>
    <row r="249" spans="1:12" customHeight="1" ht="105" outlineLevel="4">
      <c r="A249" s="1"/>
      <c r="B249" s="1">
        <v>930000</v>
      </c>
      <c r="C249" s="1" t="s">
        <v>795</v>
      </c>
      <c r="D249" s="1"/>
      <c r="E249" s="2" t="s">
        <v>796</v>
      </c>
      <c r="F249" s="2" t="s">
        <v>797</v>
      </c>
      <c r="G249" s="2" t="s">
        <v>69</v>
      </c>
      <c r="H249" s="2">
        <v>0</v>
      </c>
      <c r="I249" s="1">
        <v>0</v>
      </c>
      <c r="J249" s="3" t="s">
        <v>17</v>
      </c>
      <c r="K249" s="2" t="str">
        <f>J249*24.41</f>
        <v>0</v>
      </c>
      <c r="L249" s="5"/>
    </row>
    <row r="250" spans="1:12" customHeight="1" ht="105" outlineLevel="4">
      <c r="A250" s="1"/>
      <c r="B250" s="1">
        <v>930001</v>
      </c>
      <c r="C250" s="1" t="s">
        <v>798</v>
      </c>
      <c r="D250" s="1"/>
      <c r="E250" s="2" t="s">
        <v>799</v>
      </c>
      <c r="F250" s="2" t="s">
        <v>800</v>
      </c>
      <c r="G250" s="2" t="s">
        <v>69</v>
      </c>
      <c r="H250" s="2">
        <v>0</v>
      </c>
      <c r="I250" s="1">
        <v>0</v>
      </c>
      <c r="J250" s="3" t="s">
        <v>17</v>
      </c>
      <c r="K250" s="2" t="str">
        <f>J250*33.26</f>
        <v>0</v>
      </c>
      <c r="L250" s="5"/>
    </row>
    <row r="251" spans="1:12" customHeight="1" ht="105" outlineLevel="4">
      <c r="A251" s="1"/>
      <c r="B251" s="1">
        <v>930002</v>
      </c>
      <c r="C251" s="1" t="s">
        <v>801</v>
      </c>
      <c r="D251" s="1"/>
      <c r="E251" s="2" t="s">
        <v>802</v>
      </c>
      <c r="F251" s="2" t="s">
        <v>803</v>
      </c>
      <c r="G251" s="2" t="s">
        <v>16</v>
      </c>
      <c r="H251" s="2">
        <v>0</v>
      </c>
      <c r="I251" s="1">
        <v>0</v>
      </c>
      <c r="J251" s="3" t="s">
        <v>17</v>
      </c>
      <c r="K251" s="2" t="str">
        <f>J251*28.74</f>
        <v>0</v>
      </c>
      <c r="L251" s="5"/>
    </row>
    <row r="252" spans="1:12" customHeight="1" ht="105" outlineLevel="4">
      <c r="A252" s="1"/>
      <c r="B252" s="1">
        <v>930003</v>
      </c>
      <c r="C252" s="1" t="s">
        <v>804</v>
      </c>
      <c r="D252" s="1"/>
      <c r="E252" s="2" t="s">
        <v>805</v>
      </c>
      <c r="F252" s="2" t="s">
        <v>806</v>
      </c>
      <c r="G252" s="2" t="s">
        <v>82</v>
      </c>
      <c r="H252" s="2">
        <v>0</v>
      </c>
      <c r="I252" s="1">
        <v>0</v>
      </c>
      <c r="J252" s="3" t="s">
        <v>17</v>
      </c>
      <c r="K252" s="2" t="str">
        <f>J252*27.65</f>
        <v>0</v>
      </c>
      <c r="L252" s="5"/>
    </row>
    <row r="253" spans="1:12" customHeight="1" ht="105" outlineLevel="4">
      <c r="A253" s="1"/>
      <c r="B253" s="1">
        <v>930004</v>
      </c>
      <c r="C253" s="1" t="s">
        <v>807</v>
      </c>
      <c r="D253" s="1"/>
      <c r="E253" s="2" t="s">
        <v>808</v>
      </c>
      <c r="F253" s="2" t="s">
        <v>809</v>
      </c>
      <c r="G253" s="2" t="s">
        <v>82</v>
      </c>
      <c r="H253" s="2">
        <v>0</v>
      </c>
      <c r="I253" s="1">
        <v>0</v>
      </c>
      <c r="J253" s="3" t="s">
        <v>17</v>
      </c>
      <c r="K253" s="2" t="str">
        <f>J253*28.73</f>
        <v>0</v>
      </c>
      <c r="L253" s="5"/>
    </row>
    <row r="254" spans="1:12" customHeight="1" ht="105" outlineLevel="4">
      <c r="A254" s="1"/>
      <c r="B254" s="1">
        <v>930005</v>
      </c>
      <c r="C254" s="1" t="s">
        <v>810</v>
      </c>
      <c r="D254" s="1"/>
      <c r="E254" s="2" t="s">
        <v>811</v>
      </c>
      <c r="F254" s="2" t="s">
        <v>812</v>
      </c>
      <c r="G254" s="2" t="s">
        <v>16</v>
      </c>
      <c r="H254" s="2">
        <v>0</v>
      </c>
      <c r="I254" s="1">
        <v>0</v>
      </c>
      <c r="J254" s="3" t="s">
        <v>17</v>
      </c>
      <c r="K254" s="2" t="str">
        <f>J254*28.94</f>
        <v>0</v>
      </c>
      <c r="L254" s="5"/>
    </row>
    <row r="255" spans="1:12" customHeight="1" ht="105" outlineLevel="4">
      <c r="A255" s="1"/>
      <c r="B255" s="1">
        <v>930006</v>
      </c>
      <c r="C255" s="1" t="s">
        <v>813</v>
      </c>
      <c r="D255" s="1"/>
      <c r="E255" s="2" t="s">
        <v>814</v>
      </c>
      <c r="F255" s="2" t="s">
        <v>815</v>
      </c>
      <c r="G255" s="2">
        <v>0</v>
      </c>
      <c r="H255" s="2">
        <v>0</v>
      </c>
      <c r="I255" s="1">
        <v>0</v>
      </c>
      <c r="J255" s="3" t="s">
        <v>17</v>
      </c>
      <c r="K255" s="2" t="str">
        <f>J255*79.27</f>
        <v>0</v>
      </c>
      <c r="L255" s="5"/>
    </row>
    <row r="256" spans="1:12" customHeight="1" ht="105" outlineLevel="4">
      <c r="A256" s="1"/>
      <c r="B256" s="1">
        <v>930007</v>
      </c>
      <c r="C256" s="1" t="s">
        <v>816</v>
      </c>
      <c r="D256" s="1"/>
      <c r="E256" s="2" t="s">
        <v>817</v>
      </c>
      <c r="F256" s="2" t="s">
        <v>818</v>
      </c>
      <c r="G256" s="2" t="s">
        <v>69</v>
      </c>
      <c r="H256" s="2">
        <v>0</v>
      </c>
      <c r="I256" s="1">
        <v>0</v>
      </c>
      <c r="J256" s="3" t="s">
        <v>17</v>
      </c>
      <c r="K256" s="2" t="str">
        <f>J256*47.52</f>
        <v>0</v>
      </c>
      <c r="L256" s="5"/>
    </row>
    <row r="257" spans="1:12" customHeight="1" ht="105" outlineLevel="4">
      <c r="A257" s="1"/>
      <c r="B257" s="1">
        <v>930008</v>
      </c>
      <c r="C257" s="1" t="s">
        <v>819</v>
      </c>
      <c r="D257" s="1"/>
      <c r="E257" s="2" t="s">
        <v>820</v>
      </c>
      <c r="F257" s="2" t="s">
        <v>821</v>
      </c>
      <c r="G257" s="2" t="s">
        <v>16</v>
      </c>
      <c r="H257" s="2">
        <v>0</v>
      </c>
      <c r="I257" s="1">
        <v>0</v>
      </c>
      <c r="J257" s="3" t="s">
        <v>17</v>
      </c>
      <c r="K257" s="2" t="str">
        <f>J257*47.09</f>
        <v>0</v>
      </c>
      <c r="L257" s="5"/>
    </row>
    <row r="258" spans="1:12" customHeight="1" ht="105" outlineLevel="4">
      <c r="A258" s="1"/>
      <c r="B258" s="1">
        <v>930009</v>
      </c>
      <c r="C258" s="1" t="s">
        <v>822</v>
      </c>
      <c r="D258" s="1"/>
      <c r="E258" s="2" t="s">
        <v>823</v>
      </c>
      <c r="F258" s="2" t="s">
        <v>824</v>
      </c>
      <c r="G258" s="2" t="s">
        <v>69</v>
      </c>
      <c r="H258" s="2">
        <v>0</v>
      </c>
      <c r="I258" s="1">
        <v>0</v>
      </c>
      <c r="J258" s="3" t="s">
        <v>17</v>
      </c>
      <c r="K258" s="2" t="str">
        <f>J258*51.41</f>
        <v>0</v>
      </c>
      <c r="L258" s="5"/>
    </row>
    <row r="259" spans="1:12" customHeight="1" ht="105" outlineLevel="4">
      <c r="A259" s="1"/>
      <c r="B259" s="1">
        <v>930010</v>
      </c>
      <c r="C259" s="1" t="s">
        <v>825</v>
      </c>
      <c r="D259" s="1"/>
      <c r="E259" s="2" t="s">
        <v>826</v>
      </c>
      <c r="F259" s="2" t="s">
        <v>827</v>
      </c>
      <c r="G259" s="2" t="s">
        <v>34</v>
      </c>
      <c r="H259" s="2">
        <v>0</v>
      </c>
      <c r="I259" s="1">
        <v>0</v>
      </c>
      <c r="J259" s="3" t="s">
        <v>17</v>
      </c>
      <c r="K259" s="2" t="str">
        <f>J259*50.76</f>
        <v>0</v>
      </c>
      <c r="L259" s="5"/>
    </row>
    <row r="260" spans="1:12" customHeight="1" ht="105" outlineLevel="4">
      <c r="A260" s="1"/>
      <c r="B260" s="1">
        <v>930011</v>
      </c>
      <c r="C260" s="1" t="s">
        <v>828</v>
      </c>
      <c r="D260" s="1"/>
      <c r="E260" s="2" t="s">
        <v>829</v>
      </c>
      <c r="F260" s="2" t="s">
        <v>830</v>
      </c>
      <c r="G260" s="2" t="s">
        <v>69</v>
      </c>
      <c r="H260" s="2">
        <v>0</v>
      </c>
      <c r="I260" s="1">
        <v>0</v>
      </c>
      <c r="J260" s="3" t="s">
        <v>17</v>
      </c>
      <c r="K260" s="2" t="str">
        <f>J260*90.29</f>
        <v>0</v>
      </c>
      <c r="L260" s="5"/>
    </row>
    <row r="261" spans="1:12" customHeight="1" ht="105" outlineLevel="4">
      <c r="A261" s="1"/>
      <c r="B261" s="1">
        <v>930012</v>
      </c>
      <c r="C261" s="1" t="s">
        <v>831</v>
      </c>
      <c r="D261" s="1"/>
      <c r="E261" s="2" t="s">
        <v>832</v>
      </c>
      <c r="F261" s="2" t="s">
        <v>833</v>
      </c>
      <c r="G261" s="2" t="s">
        <v>82</v>
      </c>
      <c r="H261" s="2">
        <v>0</v>
      </c>
      <c r="I261" s="1">
        <v>0</v>
      </c>
      <c r="J261" s="3" t="s">
        <v>17</v>
      </c>
      <c r="K261" s="2" t="str">
        <f>J261*59.18</f>
        <v>0</v>
      </c>
      <c r="L261" s="5"/>
    </row>
    <row r="262" spans="1:12" customHeight="1" ht="105" outlineLevel="4">
      <c r="A262" s="1"/>
      <c r="B262" s="1">
        <v>930013</v>
      </c>
      <c r="C262" s="1" t="s">
        <v>834</v>
      </c>
      <c r="D262" s="1"/>
      <c r="E262" s="2" t="s">
        <v>835</v>
      </c>
      <c r="F262" s="2" t="s">
        <v>836</v>
      </c>
      <c r="G262" s="2" t="s">
        <v>69</v>
      </c>
      <c r="H262" s="2">
        <v>0</v>
      </c>
      <c r="I262" s="1">
        <v>0</v>
      </c>
      <c r="J262" s="3" t="s">
        <v>17</v>
      </c>
      <c r="K262" s="2" t="str">
        <f>J262*81.43</f>
        <v>0</v>
      </c>
      <c r="L262" s="5"/>
    </row>
    <row r="263" spans="1:12" customHeight="1" ht="105" outlineLevel="4">
      <c r="A263" s="1"/>
      <c r="B263" s="1">
        <v>930014</v>
      </c>
      <c r="C263" s="1" t="s">
        <v>837</v>
      </c>
      <c r="D263" s="1"/>
      <c r="E263" s="2" t="s">
        <v>838</v>
      </c>
      <c r="F263" s="2" t="s">
        <v>815</v>
      </c>
      <c r="G263" s="2" t="s">
        <v>82</v>
      </c>
      <c r="H263" s="2">
        <v>0</v>
      </c>
      <c r="I263" s="1">
        <v>0</v>
      </c>
      <c r="J263" s="3" t="s">
        <v>17</v>
      </c>
      <c r="K263" s="2" t="str">
        <f>J263*79.27</f>
        <v>0</v>
      </c>
      <c r="L263" s="5"/>
    </row>
    <row r="264" spans="1:12" customHeight="1" ht="105" outlineLevel="4">
      <c r="A264" s="1"/>
      <c r="B264" s="1">
        <v>930015</v>
      </c>
      <c r="C264" s="1" t="s">
        <v>839</v>
      </c>
      <c r="D264" s="1"/>
      <c r="E264" s="2" t="s">
        <v>840</v>
      </c>
      <c r="F264" s="2" t="s">
        <v>815</v>
      </c>
      <c r="G264" s="2" t="s">
        <v>82</v>
      </c>
      <c r="H264" s="2">
        <v>0</v>
      </c>
      <c r="I264" s="1">
        <v>0</v>
      </c>
      <c r="J264" s="3" t="s">
        <v>17</v>
      </c>
      <c r="K264" s="2" t="str">
        <f>J264*79.27</f>
        <v>0</v>
      </c>
      <c r="L264" s="5"/>
    </row>
    <row r="265" spans="1:12" customHeight="1" ht="105" outlineLevel="4">
      <c r="A265" s="1"/>
      <c r="B265" s="1">
        <v>930016</v>
      </c>
      <c r="C265" s="1" t="s">
        <v>841</v>
      </c>
      <c r="D265" s="1"/>
      <c r="E265" s="2" t="s">
        <v>842</v>
      </c>
      <c r="F265" s="2" t="s">
        <v>843</v>
      </c>
      <c r="G265" s="2" t="s">
        <v>69</v>
      </c>
      <c r="H265" s="2">
        <v>0</v>
      </c>
      <c r="I265" s="1">
        <v>0</v>
      </c>
      <c r="J265" s="3" t="s">
        <v>17</v>
      </c>
      <c r="K265" s="2" t="str">
        <f>J265*89.42</f>
        <v>0</v>
      </c>
      <c r="L265" s="5"/>
    </row>
    <row r="266" spans="1:12" customHeight="1" ht="105" outlineLevel="4">
      <c r="A266" s="1"/>
      <c r="B266" s="1">
        <v>930017</v>
      </c>
      <c r="C266" s="1" t="s">
        <v>844</v>
      </c>
      <c r="D266" s="1"/>
      <c r="E266" s="2" t="s">
        <v>845</v>
      </c>
      <c r="F266" s="2" t="s">
        <v>846</v>
      </c>
      <c r="G266" s="2" t="s">
        <v>82</v>
      </c>
      <c r="H266" s="2">
        <v>0</v>
      </c>
      <c r="I266" s="1">
        <v>0</v>
      </c>
      <c r="J266" s="3" t="s">
        <v>17</v>
      </c>
      <c r="K266" s="2" t="str">
        <f>J266*82.08</f>
        <v>0</v>
      </c>
      <c r="L266" s="5"/>
    </row>
    <row r="267" spans="1:12" customHeight="1" ht="105" outlineLevel="4">
      <c r="A267" s="1"/>
      <c r="B267" s="1">
        <v>930018</v>
      </c>
      <c r="C267" s="1" t="s">
        <v>847</v>
      </c>
      <c r="D267" s="1"/>
      <c r="E267" s="2" t="s">
        <v>848</v>
      </c>
      <c r="F267" s="2" t="s">
        <v>849</v>
      </c>
      <c r="G267" s="2" t="s">
        <v>82</v>
      </c>
      <c r="H267" s="2">
        <v>0</v>
      </c>
      <c r="I267" s="1">
        <v>0</v>
      </c>
      <c r="J267" s="3" t="s">
        <v>17</v>
      </c>
      <c r="K267" s="2" t="str">
        <f>J267*95.04</f>
        <v>0</v>
      </c>
      <c r="L267" s="5"/>
    </row>
    <row r="268" spans="1:12" customHeight="1" ht="105" outlineLevel="4">
      <c r="A268" s="1"/>
      <c r="B268" s="1">
        <v>930019</v>
      </c>
      <c r="C268" s="1" t="s">
        <v>850</v>
      </c>
      <c r="D268" s="1"/>
      <c r="E268" s="2" t="s">
        <v>851</v>
      </c>
      <c r="F268" s="2" t="s">
        <v>852</v>
      </c>
      <c r="G268" s="2" t="s">
        <v>82</v>
      </c>
      <c r="H268" s="2">
        <v>0</v>
      </c>
      <c r="I268" s="1">
        <v>0</v>
      </c>
      <c r="J268" s="3" t="s">
        <v>17</v>
      </c>
      <c r="K268" s="2" t="str">
        <f>J268*103.90</f>
        <v>0</v>
      </c>
      <c r="L268" s="5"/>
    </row>
    <row r="269" spans="1:12" customHeight="1" ht="105" outlineLevel="4">
      <c r="A269" s="1"/>
      <c r="B269" s="1">
        <v>930020</v>
      </c>
      <c r="C269" s="1" t="s">
        <v>853</v>
      </c>
      <c r="D269" s="1"/>
      <c r="E269" s="2" t="s">
        <v>854</v>
      </c>
      <c r="F269" s="2" t="s">
        <v>855</v>
      </c>
      <c r="G269" s="2" t="s">
        <v>82</v>
      </c>
      <c r="H269" s="2">
        <v>0</v>
      </c>
      <c r="I269" s="1">
        <v>0</v>
      </c>
      <c r="J269" s="3" t="s">
        <v>17</v>
      </c>
      <c r="K269" s="2" t="str">
        <f>J269*100.66</f>
        <v>0</v>
      </c>
      <c r="L269" s="5"/>
    </row>
    <row r="270" spans="1:12" customHeight="1" ht="105" outlineLevel="4">
      <c r="A270" s="1"/>
      <c r="B270" s="1">
        <v>930021</v>
      </c>
      <c r="C270" s="1" t="s">
        <v>856</v>
      </c>
      <c r="D270" s="1"/>
      <c r="E270" s="2" t="s">
        <v>857</v>
      </c>
      <c r="F270" s="2" t="s">
        <v>858</v>
      </c>
      <c r="G270" s="2" t="s">
        <v>82</v>
      </c>
      <c r="H270" s="2">
        <v>0</v>
      </c>
      <c r="I270" s="1">
        <v>0</v>
      </c>
      <c r="J270" s="3" t="s">
        <v>17</v>
      </c>
      <c r="K270" s="2" t="str">
        <f>J270*127.22</f>
        <v>0</v>
      </c>
      <c r="L270" s="5"/>
    </row>
    <row r="271" spans="1:12" customHeight="1" ht="105" outlineLevel="4">
      <c r="A271" s="1"/>
      <c r="B271" s="1">
        <v>930022</v>
      </c>
      <c r="C271" s="1" t="s">
        <v>859</v>
      </c>
      <c r="D271" s="1"/>
      <c r="E271" s="2" t="s">
        <v>860</v>
      </c>
      <c r="F271" s="2" t="s">
        <v>861</v>
      </c>
      <c r="G271" s="2">
        <v>10</v>
      </c>
      <c r="H271" s="2">
        <v>0</v>
      </c>
      <c r="I271" s="1">
        <v>0</v>
      </c>
      <c r="J271" s="3" t="s">
        <v>17</v>
      </c>
      <c r="K271" s="2" t="str">
        <f>J271*133.92</f>
        <v>0</v>
      </c>
      <c r="L271" s="5"/>
    </row>
    <row r="272" spans="1:12" customHeight="1" ht="105" outlineLevel="4">
      <c r="A272" s="1"/>
      <c r="B272" s="1">
        <v>930023</v>
      </c>
      <c r="C272" s="1" t="s">
        <v>862</v>
      </c>
      <c r="D272" s="1"/>
      <c r="E272" s="2" t="s">
        <v>863</v>
      </c>
      <c r="F272" s="2" t="s">
        <v>864</v>
      </c>
      <c r="G272" s="2" t="s">
        <v>82</v>
      </c>
      <c r="H272" s="2">
        <v>0</v>
      </c>
      <c r="I272" s="1">
        <v>0</v>
      </c>
      <c r="J272" s="3" t="s">
        <v>17</v>
      </c>
      <c r="K272" s="2" t="str">
        <f>J272*139.10</f>
        <v>0</v>
      </c>
      <c r="L272" s="5"/>
    </row>
    <row r="273" spans="1:12" customHeight="1" ht="105" outlineLevel="4">
      <c r="A273" s="1"/>
      <c r="B273" s="1">
        <v>930024</v>
      </c>
      <c r="C273" s="1" t="s">
        <v>865</v>
      </c>
      <c r="D273" s="1"/>
      <c r="E273" s="2" t="s">
        <v>866</v>
      </c>
      <c r="F273" s="2" t="s">
        <v>867</v>
      </c>
      <c r="G273" s="2">
        <v>8</v>
      </c>
      <c r="H273" s="2">
        <v>0</v>
      </c>
      <c r="I273" s="1">
        <v>0</v>
      </c>
      <c r="J273" s="3" t="s">
        <v>17</v>
      </c>
      <c r="K273" s="2" t="str">
        <f>J273*142.13</f>
        <v>0</v>
      </c>
      <c r="L273" s="5"/>
    </row>
    <row r="274" spans="1:12" customHeight="1" ht="105" outlineLevel="4">
      <c r="A274" s="1"/>
      <c r="B274" s="1">
        <v>930025</v>
      </c>
      <c r="C274" s="1" t="s">
        <v>868</v>
      </c>
      <c r="D274" s="1"/>
      <c r="E274" s="2" t="s">
        <v>869</v>
      </c>
      <c r="F274" s="2" t="s">
        <v>870</v>
      </c>
      <c r="G274" s="2" t="s">
        <v>82</v>
      </c>
      <c r="H274" s="2">
        <v>0</v>
      </c>
      <c r="I274" s="1">
        <v>0</v>
      </c>
      <c r="J274" s="3" t="s">
        <v>17</v>
      </c>
      <c r="K274" s="2" t="str">
        <f>J274*164.81</f>
        <v>0</v>
      </c>
      <c r="L274" s="5"/>
    </row>
    <row r="275" spans="1:12" customHeight="1" ht="105" outlineLevel="4">
      <c r="A275" s="1"/>
      <c r="B275" s="1">
        <v>930026</v>
      </c>
      <c r="C275" s="1" t="s">
        <v>871</v>
      </c>
      <c r="D275" s="1"/>
      <c r="E275" s="2" t="s">
        <v>872</v>
      </c>
      <c r="F275" s="2" t="s">
        <v>873</v>
      </c>
      <c r="G275" s="2" t="s">
        <v>82</v>
      </c>
      <c r="H275" s="2">
        <v>0</v>
      </c>
      <c r="I275" s="1">
        <v>0</v>
      </c>
      <c r="J275" s="3" t="s">
        <v>17</v>
      </c>
      <c r="K275" s="2" t="str">
        <f>J275*177.98</f>
        <v>0</v>
      </c>
      <c r="L275" s="5"/>
    </row>
    <row r="276" spans="1:12" customHeight="1" ht="105" outlineLevel="4">
      <c r="A276" s="1"/>
      <c r="B276" s="1">
        <v>930027</v>
      </c>
      <c r="C276" s="1" t="s">
        <v>874</v>
      </c>
      <c r="D276" s="1"/>
      <c r="E276" s="2" t="s">
        <v>875</v>
      </c>
      <c r="F276" s="2" t="s">
        <v>718</v>
      </c>
      <c r="G276" s="2">
        <v>0</v>
      </c>
      <c r="H276" s="2">
        <v>0</v>
      </c>
      <c r="I276" s="1">
        <v>0</v>
      </c>
      <c r="J276" s="3" t="s">
        <v>17</v>
      </c>
      <c r="K276" s="2" t="str">
        <f>J276*228.74</f>
        <v>0</v>
      </c>
      <c r="L276" s="5"/>
    </row>
    <row r="277" spans="1:12" customHeight="1" ht="105" outlineLevel="4">
      <c r="A277" s="1"/>
      <c r="B277" s="1">
        <v>930028</v>
      </c>
      <c r="C277" s="1" t="s">
        <v>876</v>
      </c>
      <c r="D277" s="1"/>
      <c r="E277" s="2" t="s">
        <v>877</v>
      </c>
      <c r="F277" s="2" t="s">
        <v>878</v>
      </c>
      <c r="G277" s="2">
        <v>0</v>
      </c>
      <c r="H277" s="2">
        <v>0</v>
      </c>
      <c r="I277" s="1">
        <v>0</v>
      </c>
      <c r="J277" s="3" t="s">
        <v>17</v>
      </c>
      <c r="K277" s="2" t="str">
        <f>J277*292.03</f>
        <v>0</v>
      </c>
      <c r="L277" s="5"/>
    </row>
    <row r="278" spans="1:12" customHeight="1" ht="105" outlineLevel="4">
      <c r="A278" s="1"/>
      <c r="B278" s="1">
        <v>930029</v>
      </c>
      <c r="C278" s="1" t="s">
        <v>879</v>
      </c>
      <c r="D278" s="1"/>
      <c r="E278" s="2" t="s">
        <v>880</v>
      </c>
      <c r="F278" s="2" t="s">
        <v>881</v>
      </c>
      <c r="G278" s="2">
        <v>0</v>
      </c>
      <c r="H278" s="2">
        <v>0</v>
      </c>
      <c r="I278" s="1">
        <v>0</v>
      </c>
      <c r="J278" s="3" t="s">
        <v>17</v>
      </c>
      <c r="K278" s="2" t="str">
        <f>J278*329.62</f>
        <v>0</v>
      </c>
      <c r="L278" s="5"/>
    </row>
    <row r="279" spans="1:12" customHeight="1" ht="105" outlineLevel="4">
      <c r="A279" s="1"/>
      <c r="B279" s="1">
        <v>930030</v>
      </c>
      <c r="C279" s="1" t="s">
        <v>882</v>
      </c>
      <c r="D279" s="1"/>
      <c r="E279" s="2" t="s">
        <v>883</v>
      </c>
      <c r="F279" s="2" t="s">
        <v>884</v>
      </c>
      <c r="G279" s="2">
        <v>0</v>
      </c>
      <c r="H279" s="2">
        <v>0</v>
      </c>
      <c r="I279" s="1">
        <v>0</v>
      </c>
      <c r="J279" s="3" t="s">
        <v>17</v>
      </c>
      <c r="K279" s="2" t="str">
        <f>J279*362.88</f>
        <v>0</v>
      </c>
      <c r="L279" s="5"/>
    </row>
    <row r="280" spans="1:12" customHeight="1" ht="105" outlineLevel="4">
      <c r="A280" s="1"/>
      <c r="B280" s="1">
        <v>930031</v>
      </c>
      <c r="C280" s="1" t="s">
        <v>885</v>
      </c>
      <c r="D280" s="1"/>
      <c r="E280" s="2" t="s">
        <v>886</v>
      </c>
      <c r="F280" s="2" t="s">
        <v>437</v>
      </c>
      <c r="G280" s="2">
        <v>0</v>
      </c>
      <c r="H280" s="2">
        <v>0</v>
      </c>
      <c r="I280" s="1">
        <v>0</v>
      </c>
      <c r="J280" s="3" t="s">
        <v>17</v>
      </c>
      <c r="K280" s="2" t="str">
        <f>J280*367.20</f>
        <v>0</v>
      </c>
      <c r="L280" s="5"/>
    </row>
    <row r="281" spans="1:12" customHeight="1" ht="105" outlineLevel="4">
      <c r="A281" s="1"/>
      <c r="B281" s="1">
        <v>930032</v>
      </c>
      <c r="C281" s="1" t="s">
        <v>887</v>
      </c>
      <c r="D281" s="1"/>
      <c r="E281" s="2" t="s">
        <v>888</v>
      </c>
      <c r="F281" s="2" t="s">
        <v>889</v>
      </c>
      <c r="G281" s="2">
        <v>0</v>
      </c>
      <c r="H281" s="2">
        <v>0</v>
      </c>
      <c r="I281" s="1">
        <v>0</v>
      </c>
      <c r="J281" s="3" t="s">
        <v>17</v>
      </c>
      <c r="K281" s="2" t="str">
        <f>J281*407.81</f>
        <v>0</v>
      </c>
      <c r="L281" s="5"/>
    </row>
    <row r="282" spans="1:12" customHeight="1" ht="105" outlineLevel="4">
      <c r="A282" s="1"/>
      <c r="B282" s="1">
        <v>930033</v>
      </c>
      <c r="C282" s="1" t="s">
        <v>890</v>
      </c>
      <c r="D282" s="1"/>
      <c r="E282" s="2" t="s">
        <v>891</v>
      </c>
      <c r="F282" s="2" t="s">
        <v>892</v>
      </c>
      <c r="G282" s="2">
        <v>0</v>
      </c>
      <c r="H282" s="2">
        <v>0</v>
      </c>
      <c r="I282" s="1">
        <v>0</v>
      </c>
      <c r="J282" s="3" t="s">
        <v>17</v>
      </c>
      <c r="K282" s="2" t="str">
        <f>J282*576.50</f>
        <v>0</v>
      </c>
      <c r="L282" s="5"/>
    </row>
    <row r="283" spans="1:12" customHeight="1" ht="105" outlineLevel="4">
      <c r="A283" s="1"/>
      <c r="B283" s="1">
        <v>930034</v>
      </c>
      <c r="C283" s="1" t="s">
        <v>893</v>
      </c>
      <c r="D283" s="1"/>
      <c r="E283" s="2" t="s">
        <v>894</v>
      </c>
      <c r="F283" s="2" t="s">
        <v>895</v>
      </c>
      <c r="G283" s="2">
        <v>0</v>
      </c>
      <c r="H283" s="2">
        <v>0</v>
      </c>
      <c r="I283" s="1">
        <v>0</v>
      </c>
      <c r="J283" s="3" t="s">
        <v>17</v>
      </c>
      <c r="K283" s="2" t="str">
        <f>J283*604.37</f>
        <v>0</v>
      </c>
      <c r="L283" s="5"/>
    </row>
    <row r="284" spans="1:12" customHeight="1" ht="105" outlineLevel="4">
      <c r="A284" s="1"/>
      <c r="B284" s="1">
        <v>930035</v>
      </c>
      <c r="C284" s="1" t="s">
        <v>896</v>
      </c>
      <c r="D284" s="1"/>
      <c r="E284" s="2" t="s">
        <v>897</v>
      </c>
      <c r="F284" s="2" t="s">
        <v>898</v>
      </c>
      <c r="G284" s="2">
        <v>0</v>
      </c>
      <c r="H284" s="2">
        <v>0</v>
      </c>
      <c r="I284" s="1">
        <v>0</v>
      </c>
      <c r="J284" s="3" t="s">
        <v>17</v>
      </c>
      <c r="K284" s="2" t="str">
        <f>J284*642.38</f>
        <v>0</v>
      </c>
      <c r="L284" s="5"/>
    </row>
    <row r="285" spans="1:12" customHeight="1" ht="105" outlineLevel="4">
      <c r="A285" s="1"/>
      <c r="B285" s="1">
        <v>930036</v>
      </c>
      <c r="C285" s="1" t="s">
        <v>899</v>
      </c>
      <c r="D285" s="1"/>
      <c r="E285" s="2" t="s">
        <v>900</v>
      </c>
      <c r="F285" s="2" t="s">
        <v>901</v>
      </c>
      <c r="G285" s="2">
        <v>0</v>
      </c>
      <c r="H285" s="2">
        <v>0</v>
      </c>
      <c r="I285" s="1">
        <v>0</v>
      </c>
      <c r="J285" s="3" t="s">
        <v>17</v>
      </c>
      <c r="K285" s="2" t="str">
        <f>J285*677.81</f>
        <v>0</v>
      </c>
      <c r="L285" s="5"/>
    </row>
    <row r="286" spans="1:12" customHeight="1" ht="105" outlineLevel="4">
      <c r="A286" s="1"/>
      <c r="B286" s="1">
        <v>930037</v>
      </c>
      <c r="C286" s="1" t="s">
        <v>902</v>
      </c>
      <c r="D286" s="1"/>
      <c r="E286" s="2" t="s">
        <v>903</v>
      </c>
      <c r="F286" s="2" t="s">
        <v>904</v>
      </c>
      <c r="G286" s="2">
        <v>0</v>
      </c>
      <c r="H286" s="2">
        <v>0</v>
      </c>
      <c r="I286" s="1">
        <v>0</v>
      </c>
      <c r="J286" s="3" t="s">
        <v>17</v>
      </c>
      <c r="K286" s="2" t="str">
        <f>J286*706.97</f>
        <v>0</v>
      </c>
      <c r="L286" s="5"/>
    </row>
    <row r="287" spans="1:12" customHeight="1" ht="105" outlineLevel="4">
      <c r="A287" s="1"/>
      <c r="B287" s="1">
        <v>930038</v>
      </c>
      <c r="C287" s="1" t="s">
        <v>905</v>
      </c>
      <c r="D287" s="1"/>
      <c r="E287" s="2" t="s">
        <v>906</v>
      </c>
      <c r="F287" s="2" t="s">
        <v>907</v>
      </c>
      <c r="G287" s="2">
        <v>0</v>
      </c>
      <c r="H287" s="2">
        <v>0</v>
      </c>
      <c r="I287" s="1">
        <v>0</v>
      </c>
      <c r="J287" s="3" t="s">
        <v>17</v>
      </c>
      <c r="K287" s="2" t="str">
        <f>J287*948.46</f>
        <v>0</v>
      </c>
      <c r="L287" s="5"/>
    </row>
    <row r="288" spans="1:12" customHeight="1" ht="105" outlineLevel="4">
      <c r="A288" s="1"/>
      <c r="B288" s="1">
        <v>930039</v>
      </c>
      <c r="C288" s="1" t="s">
        <v>908</v>
      </c>
      <c r="D288" s="1"/>
      <c r="E288" s="2" t="s">
        <v>909</v>
      </c>
      <c r="F288" s="2" t="s">
        <v>910</v>
      </c>
      <c r="G288" s="2">
        <v>0</v>
      </c>
      <c r="H288" s="2">
        <v>0</v>
      </c>
      <c r="I288" s="1">
        <v>0</v>
      </c>
      <c r="J288" s="3" t="s">
        <v>17</v>
      </c>
      <c r="K288" s="2" t="str">
        <f>J288*819.29</f>
        <v>0</v>
      </c>
      <c r="L288" s="5"/>
    </row>
    <row r="289" spans="1:12" customHeight="1" ht="105" outlineLevel="4">
      <c r="A289" s="1"/>
      <c r="B289" s="1">
        <v>930040</v>
      </c>
      <c r="C289" s="1" t="s">
        <v>911</v>
      </c>
      <c r="D289" s="1"/>
      <c r="E289" s="2" t="s">
        <v>912</v>
      </c>
      <c r="F289" s="2" t="s">
        <v>913</v>
      </c>
      <c r="G289" s="2">
        <v>0</v>
      </c>
      <c r="H289" s="2">
        <v>0</v>
      </c>
      <c r="I289" s="1">
        <v>0</v>
      </c>
      <c r="J289" s="3" t="s">
        <v>17</v>
      </c>
      <c r="K289" s="2" t="str">
        <f>J289*2064.53</f>
        <v>0</v>
      </c>
      <c r="L289" s="5"/>
    </row>
    <row r="290" spans="1:12" customHeight="1" ht="105" outlineLevel="4">
      <c r="A290" s="1"/>
      <c r="B290" s="1">
        <v>930041</v>
      </c>
      <c r="C290" s="1" t="s">
        <v>914</v>
      </c>
      <c r="D290" s="1"/>
      <c r="E290" s="2" t="s">
        <v>915</v>
      </c>
      <c r="F290" s="2" t="s">
        <v>916</v>
      </c>
      <c r="G290" s="2" t="s">
        <v>34</v>
      </c>
      <c r="H290" s="2">
        <v>0</v>
      </c>
      <c r="I290" s="1">
        <v>0</v>
      </c>
      <c r="J290" s="3" t="s">
        <v>17</v>
      </c>
      <c r="K290" s="2" t="str">
        <f>J290*16.20</f>
        <v>0</v>
      </c>
      <c r="L290" s="5"/>
    </row>
    <row r="291" spans="1:12" customHeight="1" ht="105" outlineLevel="4">
      <c r="A291" s="1"/>
      <c r="B291" s="1">
        <v>930042</v>
      </c>
      <c r="C291" s="1" t="s">
        <v>917</v>
      </c>
      <c r="D291" s="1"/>
      <c r="E291" s="2" t="s">
        <v>918</v>
      </c>
      <c r="F291" s="2" t="s">
        <v>919</v>
      </c>
      <c r="G291" s="2" t="s">
        <v>34</v>
      </c>
      <c r="H291" s="2">
        <v>0</v>
      </c>
      <c r="I291" s="1">
        <v>0</v>
      </c>
      <c r="J291" s="3" t="s">
        <v>17</v>
      </c>
      <c r="K291" s="2" t="str">
        <f>J291*22.03</f>
        <v>0</v>
      </c>
      <c r="L291" s="5"/>
    </row>
    <row r="292" spans="1:12" customHeight="1" ht="105" outlineLevel="4">
      <c r="A292" s="1"/>
      <c r="B292" s="1">
        <v>930043</v>
      </c>
      <c r="C292" s="1" t="s">
        <v>920</v>
      </c>
      <c r="D292" s="1"/>
      <c r="E292" s="2" t="s">
        <v>921</v>
      </c>
      <c r="F292" s="2" t="s">
        <v>922</v>
      </c>
      <c r="G292" s="2" t="s">
        <v>16</v>
      </c>
      <c r="H292" s="2">
        <v>0</v>
      </c>
      <c r="I292" s="1">
        <v>0</v>
      </c>
      <c r="J292" s="3" t="s">
        <v>17</v>
      </c>
      <c r="K292" s="2" t="str">
        <f>J292*85.10</f>
        <v>0</v>
      </c>
      <c r="L292" s="5"/>
    </row>
    <row r="293" spans="1:12" customHeight="1" ht="105" outlineLevel="4">
      <c r="A293" s="1"/>
      <c r="B293" s="1">
        <v>930044</v>
      </c>
      <c r="C293" s="1" t="s">
        <v>923</v>
      </c>
      <c r="D293" s="1"/>
      <c r="E293" s="2" t="s">
        <v>924</v>
      </c>
      <c r="F293" s="2" t="s">
        <v>849</v>
      </c>
      <c r="G293" s="2" t="s">
        <v>69</v>
      </c>
      <c r="H293" s="2">
        <v>0</v>
      </c>
      <c r="I293" s="1">
        <v>0</v>
      </c>
      <c r="J293" s="3" t="s">
        <v>17</v>
      </c>
      <c r="K293" s="2" t="str">
        <f>J293*95.04</f>
        <v>0</v>
      </c>
      <c r="L293" s="5"/>
    </row>
    <row r="294" spans="1:12" customHeight="1" ht="105" outlineLevel="4">
      <c r="A294" s="1"/>
      <c r="B294" s="1">
        <v>930045</v>
      </c>
      <c r="C294" s="1" t="s">
        <v>925</v>
      </c>
      <c r="D294" s="1"/>
      <c r="E294" s="2" t="s">
        <v>926</v>
      </c>
      <c r="F294" s="2" t="s">
        <v>927</v>
      </c>
      <c r="G294" s="2" t="s">
        <v>69</v>
      </c>
      <c r="H294" s="2">
        <v>0</v>
      </c>
      <c r="I294" s="1">
        <v>0</v>
      </c>
      <c r="J294" s="3" t="s">
        <v>17</v>
      </c>
      <c r="K294" s="2" t="str">
        <f>J294*90.94</f>
        <v>0</v>
      </c>
      <c r="L294" s="5"/>
    </row>
    <row r="295" spans="1:12" customHeight="1" ht="105" outlineLevel="4">
      <c r="A295" s="1"/>
      <c r="B295" s="1">
        <v>930046</v>
      </c>
      <c r="C295" s="1" t="s">
        <v>928</v>
      </c>
      <c r="D295" s="1"/>
      <c r="E295" s="2" t="s">
        <v>929</v>
      </c>
      <c r="F295" s="2" t="s">
        <v>930</v>
      </c>
      <c r="G295" s="2" t="s">
        <v>69</v>
      </c>
      <c r="H295" s="2">
        <v>0</v>
      </c>
      <c r="I295" s="1">
        <v>0</v>
      </c>
      <c r="J295" s="3" t="s">
        <v>17</v>
      </c>
      <c r="K295" s="2" t="str">
        <f>J295*117.50</f>
        <v>0</v>
      </c>
      <c r="L295" s="5"/>
    </row>
    <row r="296" spans="1:12" customHeight="1" ht="105" outlineLevel="4">
      <c r="A296" s="1"/>
      <c r="B296" s="1">
        <v>930047</v>
      </c>
      <c r="C296" s="1" t="s">
        <v>931</v>
      </c>
      <c r="D296" s="1"/>
      <c r="E296" s="2" t="s">
        <v>932</v>
      </c>
      <c r="F296" s="2" t="s">
        <v>933</v>
      </c>
      <c r="G296" s="2" t="s">
        <v>82</v>
      </c>
      <c r="H296" s="2">
        <v>0</v>
      </c>
      <c r="I296" s="1">
        <v>0</v>
      </c>
      <c r="J296" s="3" t="s">
        <v>17</v>
      </c>
      <c r="K296" s="2" t="str">
        <f>J296*153.18</f>
        <v>0</v>
      </c>
      <c r="L296" s="5"/>
    </row>
    <row r="297" spans="1:12" customHeight="1" ht="105" outlineLevel="4">
      <c r="A297" s="1"/>
      <c r="B297" s="1">
        <v>930048</v>
      </c>
      <c r="C297" s="1" t="s">
        <v>934</v>
      </c>
      <c r="D297" s="1"/>
      <c r="E297" s="2" t="s">
        <v>935</v>
      </c>
      <c r="F297" s="2" t="s">
        <v>936</v>
      </c>
      <c r="G297" s="2" t="s">
        <v>69</v>
      </c>
      <c r="H297" s="2">
        <v>0</v>
      </c>
      <c r="I297" s="1">
        <v>0</v>
      </c>
      <c r="J297" s="3" t="s">
        <v>17</v>
      </c>
      <c r="K297" s="2" t="str">
        <f>J297*130.46</f>
        <v>0</v>
      </c>
      <c r="L297" s="5"/>
    </row>
    <row r="298" spans="1:12" customHeight="1" ht="105" outlineLevel="4">
      <c r="A298" s="1"/>
      <c r="B298" s="1">
        <v>930049</v>
      </c>
      <c r="C298" s="1" t="s">
        <v>937</v>
      </c>
      <c r="D298" s="1"/>
      <c r="E298" s="2" t="s">
        <v>938</v>
      </c>
      <c r="F298" s="2" t="s">
        <v>939</v>
      </c>
      <c r="G298" s="2" t="s">
        <v>82</v>
      </c>
      <c r="H298" s="2">
        <v>0</v>
      </c>
      <c r="I298" s="1">
        <v>0</v>
      </c>
      <c r="J298" s="3" t="s">
        <v>17</v>
      </c>
      <c r="K298" s="2" t="str">
        <f>J298*207.58</f>
        <v>0</v>
      </c>
      <c r="L298" s="5"/>
    </row>
    <row r="299" spans="1:12" customHeight="1" ht="105" outlineLevel="4">
      <c r="A299" s="1"/>
      <c r="B299" s="1">
        <v>930050</v>
      </c>
      <c r="C299" s="1" t="s">
        <v>940</v>
      </c>
      <c r="D299" s="1"/>
      <c r="E299" s="2" t="s">
        <v>941</v>
      </c>
      <c r="F299" s="2" t="s">
        <v>942</v>
      </c>
      <c r="G299" s="2" t="s">
        <v>16</v>
      </c>
      <c r="H299" s="2">
        <v>0</v>
      </c>
      <c r="I299" s="1">
        <v>0</v>
      </c>
      <c r="J299" s="3" t="s">
        <v>17</v>
      </c>
      <c r="K299" s="2" t="str">
        <f>J299*105.62</f>
        <v>0</v>
      </c>
      <c r="L299" s="5"/>
    </row>
    <row r="300" spans="1:12" customHeight="1" ht="105" outlineLevel="4">
      <c r="A300" s="1"/>
      <c r="B300" s="1">
        <v>930051</v>
      </c>
      <c r="C300" s="1" t="s">
        <v>943</v>
      </c>
      <c r="D300" s="1"/>
      <c r="E300" s="2" t="s">
        <v>944</v>
      </c>
      <c r="F300" s="2" t="s">
        <v>945</v>
      </c>
      <c r="G300" s="2" t="s">
        <v>34</v>
      </c>
      <c r="H300" s="2">
        <v>0</v>
      </c>
      <c r="I300" s="1">
        <v>0</v>
      </c>
      <c r="J300" s="3" t="s">
        <v>17</v>
      </c>
      <c r="K300" s="2" t="str">
        <f>J300*117.72</f>
        <v>0</v>
      </c>
      <c r="L300" s="5"/>
    </row>
    <row r="301" spans="1:12" customHeight="1" ht="105" outlineLevel="4">
      <c r="A301" s="1"/>
      <c r="B301" s="1">
        <v>930052</v>
      </c>
      <c r="C301" s="1" t="s">
        <v>946</v>
      </c>
      <c r="D301" s="1"/>
      <c r="E301" s="2" t="s">
        <v>947</v>
      </c>
      <c r="F301" s="2" t="s">
        <v>948</v>
      </c>
      <c r="G301" s="2" t="s">
        <v>16</v>
      </c>
      <c r="H301" s="2">
        <v>0</v>
      </c>
      <c r="I301" s="1">
        <v>0</v>
      </c>
      <c r="J301" s="3" t="s">
        <v>17</v>
      </c>
      <c r="K301" s="2" t="str">
        <f>J301*134.18</f>
        <v>0</v>
      </c>
      <c r="L301" s="5"/>
    </row>
    <row r="302" spans="1:12" customHeight="1" ht="105" outlineLevel="4">
      <c r="A302" s="1"/>
      <c r="B302" s="1">
        <v>930053</v>
      </c>
      <c r="C302" s="1" t="s">
        <v>949</v>
      </c>
      <c r="D302" s="1"/>
      <c r="E302" s="2" t="s">
        <v>950</v>
      </c>
      <c r="F302" s="2" t="s">
        <v>951</v>
      </c>
      <c r="G302" s="2" t="s">
        <v>69</v>
      </c>
      <c r="H302" s="2">
        <v>0</v>
      </c>
      <c r="I302" s="1">
        <v>0</v>
      </c>
      <c r="J302" s="3" t="s">
        <v>17</v>
      </c>
      <c r="K302" s="2" t="str">
        <f>J302*132.62</f>
        <v>0</v>
      </c>
      <c r="L302" s="5"/>
    </row>
    <row r="303" spans="1:12" customHeight="1" ht="105" outlineLevel="4">
      <c r="A303" s="1"/>
      <c r="B303" s="1">
        <v>930054</v>
      </c>
      <c r="C303" s="1" t="s">
        <v>952</v>
      </c>
      <c r="D303" s="1"/>
      <c r="E303" s="2" t="s">
        <v>953</v>
      </c>
      <c r="F303" s="2" t="s">
        <v>954</v>
      </c>
      <c r="G303" s="2" t="s">
        <v>34</v>
      </c>
      <c r="H303" s="2">
        <v>0</v>
      </c>
      <c r="I303" s="1">
        <v>0</v>
      </c>
      <c r="J303" s="3" t="s">
        <v>17</v>
      </c>
      <c r="K303" s="2" t="str">
        <f>J303*164.29</f>
        <v>0</v>
      </c>
      <c r="L303" s="5"/>
    </row>
    <row r="304" spans="1:12" customHeight="1" ht="105" outlineLevel="4">
      <c r="A304" s="1"/>
      <c r="B304" s="1">
        <v>930055</v>
      </c>
      <c r="C304" s="1" t="s">
        <v>955</v>
      </c>
      <c r="D304" s="1"/>
      <c r="E304" s="2" t="s">
        <v>956</v>
      </c>
      <c r="F304" s="2" t="s">
        <v>957</v>
      </c>
      <c r="G304" s="2" t="s">
        <v>69</v>
      </c>
      <c r="H304" s="2">
        <v>0</v>
      </c>
      <c r="I304" s="1">
        <v>0</v>
      </c>
      <c r="J304" s="3" t="s">
        <v>17</v>
      </c>
      <c r="K304" s="2" t="str">
        <f>J304*151.20</f>
        <v>0</v>
      </c>
      <c r="L304" s="5"/>
    </row>
    <row r="305" spans="1:12" customHeight="1" ht="105" outlineLevel="4">
      <c r="A305" s="1"/>
      <c r="B305" s="1">
        <v>930056</v>
      </c>
      <c r="C305" s="1" t="s">
        <v>958</v>
      </c>
      <c r="D305" s="1"/>
      <c r="E305" s="2" t="s">
        <v>959</v>
      </c>
      <c r="F305" s="2" t="s">
        <v>960</v>
      </c>
      <c r="G305" s="2" t="s">
        <v>82</v>
      </c>
      <c r="H305" s="2">
        <v>0</v>
      </c>
      <c r="I305" s="1">
        <v>0</v>
      </c>
      <c r="J305" s="3" t="s">
        <v>17</v>
      </c>
      <c r="K305" s="2" t="str">
        <f>J305*230.26</f>
        <v>0</v>
      </c>
      <c r="L305" s="5"/>
    </row>
    <row r="306" spans="1:12" customHeight="1" ht="105" outlineLevel="4">
      <c r="A306" s="1"/>
      <c r="B306" s="1">
        <v>930057</v>
      </c>
      <c r="C306" s="1" t="s">
        <v>961</v>
      </c>
      <c r="D306" s="1"/>
      <c r="E306" s="2" t="s">
        <v>962</v>
      </c>
      <c r="F306" s="2" t="s">
        <v>37</v>
      </c>
      <c r="G306" s="2" t="s">
        <v>69</v>
      </c>
      <c r="H306" s="2">
        <v>0</v>
      </c>
      <c r="I306" s="1">
        <v>0</v>
      </c>
      <c r="J306" s="3" t="s">
        <v>17</v>
      </c>
      <c r="K306" s="2" t="str">
        <f>J306*160.06</f>
        <v>0</v>
      </c>
      <c r="L306" s="5"/>
    </row>
    <row r="307" spans="1:12" customHeight="1" ht="105" outlineLevel="4">
      <c r="A307" s="1"/>
      <c r="B307" s="1">
        <v>930058</v>
      </c>
      <c r="C307" s="1" t="s">
        <v>963</v>
      </c>
      <c r="D307" s="1"/>
      <c r="E307" s="2" t="s">
        <v>964</v>
      </c>
      <c r="F307" s="2" t="s">
        <v>965</v>
      </c>
      <c r="G307" s="2" t="s">
        <v>82</v>
      </c>
      <c r="H307" s="2">
        <v>0</v>
      </c>
      <c r="I307" s="1">
        <v>0</v>
      </c>
      <c r="J307" s="3" t="s">
        <v>17</v>
      </c>
      <c r="K307" s="2" t="str">
        <f>J307*256.18</f>
        <v>0</v>
      </c>
      <c r="L307" s="5"/>
    </row>
    <row r="308" spans="1:12" customHeight="1" ht="105" outlineLevel="4">
      <c r="A308" s="1"/>
      <c r="B308" s="1">
        <v>930059</v>
      </c>
      <c r="C308" s="1" t="s">
        <v>966</v>
      </c>
      <c r="D308" s="1"/>
      <c r="E308" s="2" t="s">
        <v>967</v>
      </c>
      <c r="F308" s="2" t="s">
        <v>968</v>
      </c>
      <c r="G308" s="2" t="s">
        <v>69</v>
      </c>
      <c r="H308" s="2">
        <v>0</v>
      </c>
      <c r="I308" s="1">
        <v>0</v>
      </c>
      <c r="J308" s="3" t="s">
        <v>17</v>
      </c>
      <c r="K308" s="2" t="str">
        <f>J308*235.44</f>
        <v>0</v>
      </c>
      <c r="L308" s="5"/>
    </row>
    <row r="309" spans="1:12" customHeight="1" ht="105" outlineLevel="4">
      <c r="A309" s="1"/>
      <c r="B309" s="1">
        <v>930060</v>
      </c>
      <c r="C309" s="1" t="s">
        <v>969</v>
      </c>
      <c r="D309" s="1"/>
      <c r="E309" s="2" t="s">
        <v>970</v>
      </c>
      <c r="F309" s="2" t="s">
        <v>971</v>
      </c>
      <c r="G309" s="2" t="s">
        <v>82</v>
      </c>
      <c r="H309" s="2">
        <v>0</v>
      </c>
      <c r="I309" s="1">
        <v>0</v>
      </c>
      <c r="J309" s="3" t="s">
        <v>17</v>
      </c>
      <c r="K309" s="2" t="str">
        <f>J309*411.48</f>
        <v>0</v>
      </c>
      <c r="L309" s="5"/>
    </row>
    <row r="310" spans="1:12" customHeight="1" ht="105" outlineLevel="4">
      <c r="A310" s="1"/>
      <c r="B310" s="1">
        <v>930061</v>
      </c>
      <c r="C310" s="1" t="s">
        <v>972</v>
      </c>
      <c r="D310" s="1"/>
      <c r="E310" s="2" t="s">
        <v>973</v>
      </c>
      <c r="F310" s="2" t="s">
        <v>974</v>
      </c>
      <c r="G310" s="2" t="s">
        <v>82</v>
      </c>
      <c r="H310" s="2">
        <v>0</v>
      </c>
      <c r="I310" s="1">
        <v>0</v>
      </c>
      <c r="J310" s="3" t="s">
        <v>17</v>
      </c>
      <c r="K310" s="2" t="str">
        <f>J310*406.08</f>
        <v>0</v>
      </c>
      <c r="L310" s="5"/>
    </row>
    <row r="311" spans="1:12" customHeight="1" ht="105" outlineLevel="4">
      <c r="A311" s="1"/>
      <c r="B311" s="1">
        <v>930062</v>
      </c>
      <c r="C311" s="1" t="s">
        <v>975</v>
      </c>
      <c r="D311" s="1"/>
      <c r="E311" s="2" t="s">
        <v>976</v>
      </c>
      <c r="F311" s="2" t="s">
        <v>977</v>
      </c>
      <c r="G311" s="2">
        <v>6</v>
      </c>
      <c r="H311" s="2">
        <v>0</v>
      </c>
      <c r="I311" s="1">
        <v>0</v>
      </c>
      <c r="J311" s="3" t="s">
        <v>17</v>
      </c>
      <c r="K311" s="2" t="str">
        <f>J311*649.94</f>
        <v>0</v>
      </c>
      <c r="L311" s="5"/>
    </row>
    <row r="312" spans="1:12" customHeight="1" ht="105" outlineLevel="4">
      <c r="A312" s="1"/>
      <c r="B312" s="1">
        <v>930063</v>
      </c>
      <c r="C312" s="1" t="s">
        <v>978</v>
      </c>
      <c r="D312" s="1"/>
      <c r="E312" s="2" t="s">
        <v>979</v>
      </c>
      <c r="F312" s="2" t="s">
        <v>81</v>
      </c>
      <c r="G312" s="2" t="s">
        <v>69</v>
      </c>
      <c r="H312" s="2">
        <v>0</v>
      </c>
      <c r="I312" s="1">
        <v>0</v>
      </c>
      <c r="J312" s="3" t="s">
        <v>17</v>
      </c>
      <c r="K312" s="2" t="str">
        <f>J312*84.46</f>
        <v>0</v>
      </c>
      <c r="L312" s="5"/>
    </row>
    <row r="313" spans="1:12" customHeight="1" ht="105" outlineLevel="4">
      <c r="A313" s="1"/>
      <c r="B313" s="1">
        <v>930064</v>
      </c>
      <c r="C313" s="1" t="s">
        <v>980</v>
      </c>
      <c r="D313" s="1"/>
      <c r="E313" s="2" t="s">
        <v>981</v>
      </c>
      <c r="F313" s="2" t="s">
        <v>982</v>
      </c>
      <c r="G313" s="2" t="s">
        <v>69</v>
      </c>
      <c r="H313" s="2">
        <v>0</v>
      </c>
      <c r="I313" s="1">
        <v>0</v>
      </c>
      <c r="J313" s="3" t="s">
        <v>17</v>
      </c>
      <c r="K313" s="2" t="str">
        <f>J313*450.14</f>
        <v>0</v>
      </c>
      <c r="L313" s="5"/>
    </row>
    <row r="314" spans="1:12" customHeight="1" ht="105" outlineLevel="4">
      <c r="A314" s="1"/>
      <c r="B314" s="1">
        <v>930065</v>
      </c>
      <c r="C314" s="1" t="s">
        <v>983</v>
      </c>
      <c r="D314" s="1"/>
      <c r="E314" s="2" t="s">
        <v>984</v>
      </c>
      <c r="F314" s="2" t="s">
        <v>985</v>
      </c>
      <c r="G314" s="2" t="s">
        <v>69</v>
      </c>
      <c r="H314" s="2">
        <v>0</v>
      </c>
      <c r="I314" s="1">
        <v>0</v>
      </c>
      <c r="J314" s="3" t="s">
        <v>17</v>
      </c>
      <c r="K314" s="2" t="str">
        <f>J314*547.99</f>
        <v>0</v>
      </c>
      <c r="L314" s="5"/>
    </row>
    <row r="315" spans="1:12" customHeight="1" ht="105" outlineLevel="4">
      <c r="A315" s="1"/>
      <c r="B315" s="1">
        <v>930066</v>
      </c>
      <c r="C315" s="1" t="s">
        <v>986</v>
      </c>
      <c r="D315" s="1"/>
      <c r="E315" s="2" t="s">
        <v>987</v>
      </c>
      <c r="F315" s="2" t="s">
        <v>988</v>
      </c>
      <c r="G315" s="2">
        <v>9</v>
      </c>
      <c r="H315" s="2">
        <v>0</v>
      </c>
      <c r="I315" s="1">
        <v>0</v>
      </c>
      <c r="J315" s="3" t="s">
        <v>17</v>
      </c>
      <c r="K315" s="2" t="str">
        <f>J315*754.70</f>
        <v>0</v>
      </c>
      <c r="L315" s="5"/>
    </row>
    <row r="316" spans="1:12" customHeight="1" ht="105" outlineLevel="4">
      <c r="A316" s="1"/>
      <c r="B316" s="1">
        <v>930067</v>
      </c>
      <c r="C316" s="1" t="s">
        <v>989</v>
      </c>
      <c r="D316" s="1"/>
      <c r="E316" s="2" t="s">
        <v>990</v>
      </c>
      <c r="F316" s="2" t="s">
        <v>991</v>
      </c>
      <c r="G316" s="2">
        <v>0</v>
      </c>
      <c r="H316" s="2">
        <v>0</v>
      </c>
      <c r="I316" s="1">
        <v>0</v>
      </c>
      <c r="J316" s="3" t="s">
        <v>17</v>
      </c>
      <c r="K316" s="2" t="str">
        <f>J316*1007.64</f>
        <v>0</v>
      </c>
      <c r="L316" s="5"/>
    </row>
    <row r="317" spans="1:12" customHeight="1" ht="105" outlineLevel="4">
      <c r="A317" s="1"/>
      <c r="B317" s="1">
        <v>930068</v>
      </c>
      <c r="C317" s="1" t="s">
        <v>992</v>
      </c>
      <c r="D317" s="1"/>
      <c r="E317" s="2" t="s">
        <v>993</v>
      </c>
      <c r="F317" s="2" t="s">
        <v>994</v>
      </c>
      <c r="G317" s="2">
        <v>0</v>
      </c>
      <c r="H317" s="2">
        <v>0</v>
      </c>
      <c r="I317" s="1">
        <v>0</v>
      </c>
      <c r="J317" s="3" t="s">
        <v>17</v>
      </c>
      <c r="K317" s="2" t="str">
        <f>J317*1393.20</f>
        <v>0</v>
      </c>
      <c r="L317" s="5"/>
    </row>
    <row r="318" spans="1:12" customHeight="1" ht="105" outlineLevel="4">
      <c r="A318" s="1"/>
      <c r="B318" s="1">
        <v>930069</v>
      </c>
      <c r="C318" s="1" t="s">
        <v>995</v>
      </c>
      <c r="D318" s="1"/>
      <c r="E318" s="2" t="s">
        <v>996</v>
      </c>
      <c r="F318" s="2" t="s">
        <v>997</v>
      </c>
      <c r="G318" s="2">
        <v>0</v>
      </c>
      <c r="H318" s="2">
        <v>0</v>
      </c>
      <c r="I318" s="1">
        <v>0</v>
      </c>
      <c r="J318" s="3" t="s">
        <v>17</v>
      </c>
      <c r="K318" s="2" t="str">
        <f>J318*2875.39</f>
        <v>0</v>
      </c>
      <c r="L318" s="5"/>
    </row>
    <row r="319" spans="1:12" customHeight="1" ht="105" outlineLevel="4">
      <c r="A319" s="1"/>
      <c r="B319" s="1">
        <v>930070</v>
      </c>
      <c r="C319" s="1" t="s">
        <v>998</v>
      </c>
      <c r="D319" s="1"/>
      <c r="E319" s="2" t="s">
        <v>999</v>
      </c>
      <c r="F319" s="2" t="s">
        <v>1000</v>
      </c>
      <c r="G319" s="2">
        <v>0</v>
      </c>
      <c r="H319" s="2">
        <v>0</v>
      </c>
      <c r="I319" s="1">
        <v>0</v>
      </c>
      <c r="J319" s="3" t="s">
        <v>17</v>
      </c>
      <c r="K319" s="2" t="str">
        <f>J319*2879.28</f>
        <v>0</v>
      </c>
      <c r="L319" s="5"/>
    </row>
    <row r="320" spans="1:12" customHeight="1" ht="105" outlineLevel="4">
      <c r="A320" s="1"/>
      <c r="B320" s="1">
        <v>930071</v>
      </c>
      <c r="C320" s="1" t="s">
        <v>1001</v>
      </c>
      <c r="D320" s="1"/>
      <c r="E320" s="2" t="s">
        <v>1002</v>
      </c>
      <c r="F320" s="2" t="s">
        <v>1003</v>
      </c>
      <c r="G320" s="2">
        <v>9</v>
      </c>
      <c r="H320" s="2">
        <v>0</v>
      </c>
      <c r="I320" s="1">
        <v>0</v>
      </c>
      <c r="J320" s="3" t="s">
        <v>17</v>
      </c>
      <c r="K320" s="2" t="str">
        <f>J320*624.67</f>
        <v>0</v>
      </c>
      <c r="L320" s="5"/>
    </row>
    <row r="321" spans="1:12" customHeight="1" ht="105" outlineLevel="4">
      <c r="A321" s="1"/>
      <c r="B321" s="1">
        <v>930072</v>
      </c>
      <c r="C321" s="1" t="s">
        <v>1004</v>
      </c>
      <c r="D321" s="1"/>
      <c r="E321" s="2" t="s">
        <v>1005</v>
      </c>
      <c r="F321" s="2" t="s">
        <v>1006</v>
      </c>
      <c r="G321" s="2">
        <v>3</v>
      </c>
      <c r="H321" s="2">
        <v>0</v>
      </c>
      <c r="I321" s="1">
        <v>0</v>
      </c>
      <c r="J321" s="3" t="s">
        <v>17</v>
      </c>
      <c r="K321" s="2" t="str">
        <f>J321*854.28</f>
        <v>0</v>
      </c>
      <c r="L321" s="5"/>
    </row>
    <row r="322" spans="1:12" customHeight="1" ht="105" outlineLevel="4">
      <c r="A322" s="1"/>
      <c r="B322" s="1">
        <v>930073</v>
      </c>
      <c r="C322" s="1" t="s">
        <v>1007</v>
      </c>
      <c r="D322" s="1"/>
      <c r="E322" s="2" t="s">
        <v>1008</v>
      </c>
      <c r="F322" s="2" t="s">
        <v>1009</v>
      </c>
      <c r="G322" s="2">
        <v>10</v>
      </c>
      <c r="H322" s="2">
        <v>0</v>
      </c>
      <c r="I322" s="1">
        <v>0</v>
      </c>
      <c r="J322" s="3" t="s">
        <v>17</v>
      </c>
      <c r="K322" s="2" t="str">
        <f>J322*559.44</f>
        <v>0</v>
      </c>
      <c r="L322" s="5"/>
    </row>
    <row r="323" spans="1:12" customHeight="1" ht="105" outlineLevel="4">
      <c r="A323" s="1"/>
      <c r="B323" s="1">
        <v>930074</v>
      </c>
      <c r="C323" s="1" t="s">
        <v>1010</v>
      </c>
      <c r="D323" s="1"/>
      <c r="E323" s="2" t="s">
        <v>1011</v>
      </c>
      <c r="F323" s="2" t="s">
        <v>1012</v>
      </c>
      <c r="G323" s="2" t="s">
        <v>69</v>
      </c>
      <c r="H323" s="2">
        <v>0</v>
      </c>
      <c r="I323" s="1">
        <v>0</v>
      </c>
      <c r="J323" s="3" t="s">
        <v>17</v>
      </c>
      <c r="K323" s="2" t="str">
        <f>J323*687.10</f>
        <v>0</v>
      </c>
      <c r="L323" s="5"/>
    </row>
    <row r="324" spans="1:12" customHeight="1" ht="105" outlineLevel="4">
      <c r="A324" s="1"/>
      <c r="B324" s="1">
        <v>930075</v>
      </c>
      <c r="C324" s="1" t="s">
        <v>1013</v>
      </c>
      <c r="D324" s="1"/>
      <c r="E324" s="2" t="s">
        <v>1014</v>
      </c>
      <c r="F324" s="2" t="s">
        <v>1015</v>
      </c>
      <c r="G324" s="2" t="s">
        <v>82</v>
      </c>
      <c r="H324" s="2">
        <v>0</v>
      </c>
      <c r="I324" s="1">
        <v>0</v>
      </c>
      <c r="J324" s="3" t="s">
        <v>17</v>
      </c>
      <c r="K324" s="2" t="str">
        <f>J324*578.02</f>
        <v>0</v>
      </c>
      <c r="L324" s="5"/>
    </row>
    <row r="325" spans="1:12" customHeight="1" ht="105" outlineLevel="4">
      <c r="A325" s="1"/>
      <c r="B325" s="1">
        <v>930076</v>
      </c>
      <c r="C325" s="1" t="s">
        <v>1016</v>
      </c>
      <c r="D325" s="1"/>
      <c r="E325" s="2" t="s">
        <v>1017</v>
      </c>
      <c r="F325" s="2" t="s">
        <v>1018</v>
      </c>
      <c r="G325" s="2" t="s">
        <v>82</v>
      </c>
      <c r="H325" s="2">
        <v>0</v>
      </c>
      <c r="I325" s="1">
        <v>0</v>
      </c>
      <c r="J325" s="3" t="s">
        <v>17</v>
      </c>
      <c r="K325" s="2" t="str">
        <f>J325*702.65</f>
        <v>0</v>
      </c>
      <c r="L325" s="5"/>
    </row>
    <row r="326" spans="1:12" customHeight="1" ht="105" outlineLevel="4">
      <c r="A326" s="1"/>
      <c r="B326" s="1">
        <v>930077</v>
      </c>
      <c r="C326" s="1" t="s">
        <v>1019</v>
      </c>
      <c r="D326" s="1"/>
      <c r="E326" s="2" t="s">
        <v>1020</v>
      </c>
      <c r="F326" s="2" t="s">
        <v>1021</v>
      </c>
      <c r="G326" s="2" t="s">
        <v>16</v>
      </c>
      <c r="H326" s="2">
        <v>0</v>
      </c>
      <c r="I326" s="1">
        <v>0</v>
      </c>
      <c r="J326" s="3" t="s">
        <v>17</v>
      </c>
      <c r="K326" s="2" t="str">
        <f>J326*236.09</f>
        <v>0</v>
      </c>
      <c r="L326" s="5"/>
    </row>
    <row r="327" spans="1:12" customHeight="1" ht="105" outlineLevel="4">
      <c r="A327" s="1"/>
      <c r="B327" s="1">
        <v>930078</v>
      </c>
      <c r="C327" s="1" t="s">
        <v>1022</v>
      </c>
      <c r="D327" s="1" t="s">
        <v>1023</v>
      </c>
      <c r="E327" s="2" t="s">
        <v>1024</v>
      </c>
      <c r="F327" s="2" t="s">
        <v>1025</v>
      </c>
      <c r="G327" s="2" t="s">
        <v>16</v>
      </c>
      <c r="H327" s="2">
        <v>0</v>
      </c>
      <c r="I327" s="1">
        <v>0</v>
      </c>
      <c r="J327" s="3" t="s">
        <v>17</v>
      </c>
      <c r="K327" s="2" t="str">
        <f>J327*341.28</f>
        <v>0</v>
      </c>
      <c r="L327" s="5"/>
    </row>
    <row r="328" spans="1:12" customHeight="1" ht="105" outlineLevel="4">
      <c r="A328" s="1"/>
      <c r="B328" s="1">
        <v>930079</v>
      </c>
      <c r="C328" s="1" t="s">
        <v>1026</v>
      </c>
      <c r="D328" s="1"/>
      <c r="E328" s="2" t="s">
        <v>1027</v>
      </c>
      <c r="F328" s="2" t="s">
        <v>1028</v>
      </c>
      <c r="G328" s="2" t="s">
        <v>34</v>
      </c>
      <c r="H328" s="2">
        <v>0</v>
      </c>
      <c r="I328" s="1">
        <v>0</v>
      </c>
      <c r="J328" s="3" t="s">
        <v>17</v>
      </c>
      <c r="K328" s="2" t="str">
        <f>J328*566.57</f>
        <v>0</v>
      </c>
      <c r="L328" s="5"/>
    </row>
    <row r="329" spans="1:12" customHeight="1" ht="105" outlineLevel="4">
      <c r="A329" s="1"/>
      <c r="B329" s="1">
        <v>930080</v>
      </c>
      <c r="C329" s="1" t="s">
        <v>1029</v>
      </c>
      <c r="D329" s="1"/>
      <c r="E329" s="2" t="s">
        <v>1030</v>
      </c>
      <c r="F329" s="2" t="s">
        <v>1031</v>
      </c>
      <c r="G329" s="2">
        <v>6</v>
      </c>
      <c r="H329" s="2">
        <v>0</v>
      </c>
      <c r="I329" s="1">
        <v>0</v>
      </c>
      <c r="J329" s="3" t="s">
        <v>17</v>
      </c>
      <c r="K329" s="2" t="str">
        <f>J329*1073.74</f>
        <v>0</v>
      </c>
      <c r="L329" s="5"/>
    </row>
    <row r="330" spans="1:12" customHeight="1" ht="105" outlineLevel="4">
      <c r="A330" s="1"/>
      <c r="B330" s="1">
        <v>930081</v>
      </c>
      <c r="C330" s="1" t="s">
        <v>1032</v>
      </c>
      <c r="D330" s="1"/>
      <c r="E330" s="2" t="s">
        <v>1033</v>
      </c>
      <c r="F330" s="2" t="s">
        <v>1034</v>
      </c>
      <c r="G330" s="2">
        <v>10</v>
      </c>
      <c r="H330" s="2">
        <v>0</v>
      </c>
      <c r="I330" s="1">
        <v>0</v>
      </c>
      <c r="J330" s="3" t="s">
        <v>17</v>
      </c>
      <c r="K330" s="2" t="str">
        <f>J330*1892.16</f>
        <v>0</v>
      </c>
      <c r="L330" s="5"/>
    </row>
    <row r="331" spans="1:12" customHeight="1" ht="105" outlineLevel="4">
      <c r="A331" s="1"/>
      <c r="B331" s="1">
        <v>930082</v>
      </c>
      <c r="C331" s="1" t="s">
        <v>1035</v>
      </c>
      <c r="D331" s="1"/>
      <c r="E331" s="2" t="s">
        <v>1036</v>
      </c>
      <c r="F331" s="2" t="s">
        <v>1037</v>
      </c>
      <c r="G331" s="2">
        <v>10</v>
      </c>
      <c r="H331" s="2">
        <v>0</v>
      </c>
      <c r="I331" s="1">
        <v>0</v>
      </c>
      <c r="J331" s="3" t="s">
        <v>17</v>
      </c>
      <c r="K331" s="2" t="str">
        <f>J331*2871.72</f>
        <v>0</v>
      </c>
      <c r="L331" s="5"/>
    </row>
    <row r="332" spans="1:12" customHeight="1" ht="105" outlineLevel="4">
      <c r="A332" s="1"/>
      <c r="B332" s="1">
        <v>930083</v>
      </c>
      <c r="C332" s="1" t="s">
        <v>1038</v>
      </c>
      <c r="D332" s="1"/>
      <c r="E332" s="2" t="s">
        <v>1039</v>
      </c>
      <c r="F332" s="2" t="s">
        <v>1040</v>
      </c>
      <c r="G332" s="2" t="s">
        <v>16</v>
      </c>
      <c r="H332" s="2">
        <v>0</v>
      </c>
      <c r="I332" s="1">
        <v>0</v>
      </c>
      <c r="J332" s="3" t="s">
        <v>17</v>
      </c>
      <c r="K332" s="2" t="str">
        <f>J332*201.72</f>
        <v>0</v>
      </c>
      <c r="L332" s="5"/>
    </row>
    <row r="333" spans="1:12" customHeight="1" ht="105" outlineLevel="4">
      <c r="A333" s="1"/>
      <c r="B333" s="1">
        <v>930084</v>
      </c>
      <c r="C333" s="1" t="s">
        <v>1041</v>
      </c>
      <c r="D333" s="1"/>
      <c r="E333" s="2" t="s">
        <v>1042</v>
      </c>
      <c r="F333" s="2" t="s">
        <v>1043</v>
      </c>
      <c r="G333" s="2" t="s">
        <v>16</v>
      </c>
      <c r="H333" s="2">
        <v>0</v>
      </c>
      <c r="I333" s="1">
        <v>0</v>
      </c>
      <c r="J333" s="3" t="s">
        <v>17</v>
      </c>
      <c r="K333" s="2" t="str">
        <f>J333*242.10</f>
        <v>0</v>
      </c>
      <c r="L333" s="5"/>
    </row>
    <row r="334" spans="1:12" customHeight="1" ht="105" outlineLevel="4">
      <c r="A334" s="1"/>
      <c r="B334" s="1">
        <v>930085</v>
      </c>
      <c r="C334" s="1" t="s">
        <v>1044</v>
      </c>
      <c r="D334" s="1"/>
      <c r="E334" s="2" t="s">
        <v>1045</v>
      </c>
      <c r="F334" s="2" t="s">
        <v>1046</v>
      </c>
      <c r="G334" s="2" t="s">
        <v>34</v>
      </c>
      <c r="H334" s="2">
        <v>0</v>
      </c>
      <c r="I334" s="1">
        <v>0</v>
      </c>
      <c r="J334" s="3" t="s">
        <v>17</v>
      </c>
      <c r="K334" s="2" t="str">
        <f>J334*391.50</f>
        <v>0</v>
      </c>
      <c r="L334" s="5"/>
    </row>
    <row r="335" spans="1:12" customHeight="1" ht="105" outlineLevel="4">
      <c r="A335" s="1"/>
      <c r="B335" s="1">
        <v>930086</v>
      </c>
      <c r="C335" s="1" t="s">
        <v>1047</v>
      </c>
      <c r="D335" s="1"/>
      <c r="E335" s="2" t="s">
        <v>1048</v>
      </c>
      <c r="F335" s="2" t="s">
        <v>1049</v>
      </c>
      <c r="G335" s="2" t="s">
        <v>16</v>
      </c>
      <c r="H335" s="2">
        <v>0</v>
      </c>
      <c r="I335" s="1">
        <v>0</v>
      </c>
      <c r="J335" s="3" t="s">
        <v>17</v>
      </c>
      <c r="K335" s="2" t="str">
        <f>J335*394.42</f>
        <v>0</v>
      </c>
      <c r="L335" s="5"/>
    </row>
    <row r="336" spans="1:12" customHeight="1" ht="105" outlineLevel="4">
      <c r="A336" s="1"/>
      <c r="B336" s="1">
        <v>930087</v>
      </c>
      <c r="C336" s="1" t="s">
        <v>1050</v>
      </c>
      <c r="D336" s="1"/>
      <c r="E336" s="2" t="s">
        <v>1051</v>
      </c>
      <c r="F336" s="2" t="s">
        <v>1052</v>
      </c>
      <c r="G336" s="2" t="s">
        <v>16</v>
      </c>
      <c r="H336" s="2">
        <v>0</v>
      </c>
      <c r="I336" s="1">
        <v>0</v>
      </c>
      <c r="J336" s="3" t="s">
        <v>17</v>
      </c>
      <c r="K336" s="2" t="str">
        <f>J336*536.54</f>
        <v>0</v>
      </c>
      <c r="L336" s="5"/>
    </row>
    <row r="337" spans="1:12" customHeight="1" ht="105" outlineLevel="4">
      <c r="A337" s="1"/>
      <c r="B337" s="1">
        <v>930088</v>
      </c>
      <c r="C337" s="1" t="s">
        <v>1053</v>
      </c>
      <c r="D337" s="1"/>
      <c r="E337" s="2" t="s">
        <v>1054</v>
      </c>
      <c r="F337" s="2" t="s">
        <v>971</v>
      </c>
      <c r="G337" s="2" t="s">
        <v>34</v>
      </c>
      <c r="H337" s="2">
        <v>0</v>
      </c>
      <c r="I337" s="1">
        <v>0</v>
      </c>
      <c r="J337" s="3" t="s">
        <v>17</v>
      </c>
      <c r="K337" s="2" t="str">
        <f>J337*411.48</f>
        <v>0</v>
      </c>
      <c r="L337" s="5"/>
    </row>
    <row r="338" spans="1:12" customHeight="1" ht="105" outlineLevel="4">
      <c r="A338" s="1"/>
      <c r="B338" s="1">
        <v>930089</v>
      </c>
      <c r="C338" s="1" t="s">
        <v>1055</v>
      </c>
      <c r="D338" s="1"/>
      <c r="E338" s="2" t="s">
        <v>1056</v>
      </c>
      <c r="F338" s="2" t="s">
        <v>1057</v>
      </c>
      <c r="G338" s="2" t="s">
        <v>34</v>
      </c>
      <c r="H338" s="2">
        <v>0</v>
      </c>
      <c r="I338" s="1">
        <v>0</v>
      </c>
      <c r="J338" s="3" t="s">
        <v>17</v>
      </c>
      <c r="K338" s="2" t="str">
        <f>J338*541.08</f>
        <v>0</v>
      </c>
      <c r="L338" s="5"/>
    </row>
    <row r="339" spans="1:12" customHeight="1" ht="105" outlineLevel="4">
      <c r="A339" s="1"/>
      <c r="B339" s="1">
        <v>930090</v>
      </c>
      <c r="C339" s="1" t="s">
        <v>1058</v>
      </c>
      <c r="D339" s="1"/>
      <c r="E339" s="2" t="s">
        <v>1059</v>
      </c>
      <c r="F339" s="2" t="s">
        <v>1060</v>
      </c>
      <c r="G339" s="2" t="s">
        <v>69</v>
      </c>
      <c r="H339" s="2">
        <v>0</v>
      </c>
      <c r="I339" s="1">
        <v>0</v>
      </c>
      <c r="J339" s="3" t="s">
        <v>17</v>
      </c>
      <c r="K339" s="2" t="str">
        <f>J339*66.10</f>
        <v>0</v>
      </c>
      <c r="L339" s="5"/>
    </row>
    <row r="340" spans="1:12" customHeight="1" ht="105" outlineLevel="4">
      <c r="A340" s="1"/>
      <c r="B340" s="1">
        <v>930091</v>
      </c>
      <c r="C340" s="1" t="s">
        <v>1061</v>
      </c>
      <c r="D340" s="1"/>
      <c r="E340" s="2" t="s">
        <v>1062</v>
      </c>
      <c r="F340" s="2" t="s">
        <v>1063</v>
      </c>
      <c r="G340" s="2" t="s">
        <v>69</v>
      </c>
      <c r="H340" s="2">
        <v>0</v>
      </c>
      <c r="I340" s="1">
        <v>0</v>
      </c>
      <c r="J340" s="3" t="s">
        <v>17</v>
      </c>
      <c r="K340" s="2" t="str">
        <f>J340*66.74</f>
        <v>0</v>
      </c>
      <c r="L340" s="5"/>
    </row>
    <row r="341" spans="1:12" customHeight="1" ht="105" outlineLevel="4">
      <c r="A341" s="1"/>
      <c r="B341" s="1">
        <v>930092</v>
      </c>
      <c r="C341" s="1" t="s">
        <v>1064</v>
      </c>
      <c r="D341" s="1"/>
      <c r="E341" s="2" t="s">
        <v>1065</v>
      </c>
      <c r="F341" s="2" t="s">
        <v>1066</v>
      </c>
      <c r="G341" s="2" t="s">
        <v>82</v>
      </c>
      <c r="H341" s="2">
        <v>0</v>
      </c>
      <c r="I341" s="1">
        <v>0</v>
      </c>
      <c r="J341" s="3" t="s">
        <v>17</v>
      </c>
      <c r="K341" s="2" t="str">
        <f>J341*87.70</f>
        <v>0</v>
      </c>
      <c r="L341" s="5"/>
    </row>
    <row r="342" spans="1:12" customHeight="1" ht="105" outlineLevel="4">
      <c r="A342" s="1"/>
      <c r="B342" s="1">
        <v>930093</v>
      </c>
      <c r="C342" s="1" t="s">
        <v>1067</v>
      </c>
      <c r="D342" s="1"/>
      <c r="E342" s="2" t="s">
        <v>1068</v>
      </c>
      <c r="F342" s="2" t="s">
        <v>1069</v>
      </c>
      <c r="G342" s="2" t="s">
        <v>34</v>
      </c>
      <c r="H342" s="2">
        <v>0</v>
      </c>
      <c r="I342" s="1">
        <v>0</v>
      </c>
      <c r="J342" s="3" t="s">
        <v>17</v>
      </c>
      <c r="K342" s="2" t="str">
        <f>J342*187.49</f>
        <v>0</v>
      </c>
      <c r="L342" s="5"/>
    </row>
    <row r="343" spans="1:12" customHeight="1" ht="105" outlineLevel="4">
      <c r="A343" s="1"/>
      <c r="B343" s="1">
        <v>930094</v>
      </c>
      <c r="C343" s="1" t="s">
        <v>1070</v>
      </c>
      <c r="D343" s="1" t="s">
        <v>1071</v>
      </c>
      <c r="E343" s="2" t="s">
        <v>1072</v>
      </c>
      <c r="F343" s="2" t="s">
        <v>1073</v>
      </c>
      <c r="G343" s="2" t="s">
        <v>69</v>
      </c>
      <c r="H343" s="2">
        <v>0</v>
      </c>
      <c r="I343" s="1">
        <v>0</v>
      </c>
      <c r="J343" s="3" t="s">
        <v>17</v>
      </c>
      <c r="K343" s="2" t="str">
        <f>J343*266.11</f>
        <v>0</v>
      </c>
      <c r="L343" s="5"/>
    </row>
    <row r="344" spans="1:12" customHeight="1" ht="105" outlineLevel="4">
      <c r="A344" s="1"/>
      <c r="B344" s="1">
        <v>930095</v>
      </c>
      <c r="C344" s="1" t="s">
        <v>1074</v>
      </c>
      <c r="D344" s="1"/>
      <c r="E344" s="2" t="s">
        <v>1075</v>
      </c>
      <c r="F344" s="2" t="s">
        <v>1076</v>
      </c>
      <c r="G344" s="2" t="s">
        <v>82</v>
      </c>
      <c r="H344" s="2">
        <v>0</v>
      </c>
      <c r="I344" s="1">
        <v>0</v>
      </c>
      <c r="J344" s="3" t="s">
        <v>17</v>
      </c>
      <c r="K344" s="2" t="str">
        <f>J344*420.98</f>
        <v>0</v>
      </c>
      <c r="L344" s="5"/>
    </row>
    <row r="345" spans="1:12" customHeight="1" ht="105" outlineLevel="4">
      <c r="A345" s="1"/>
      <c r="B345" s="1">
        <v>930096</v>
      </c>
      <c r="C345" s="1" t="s">
        <v>1077</v>
      </c>
      <c r="D345" s="1"/>
      <c r="E345" s="2" t="s">
        <v>1078</v>
      </c>
      <c r="F345" s="2" t="s">
        <v>1079</v>
      </c>
      <c r="G345" s="2" t="s">
        <v>69</v>
      </c>
      <c r="H345" s="2">
        <v>0</v>
      </c>
      <c r="I345" s="1">
        <v>0</v>
      </c>
      <c r="J345" s="3" t="s">
        <v>17</v>
      </c>
      <c r="K345" s="2" t="str">
        <f>J345*193.10</f>
        <v>0</v>
      </c>
      <c r="L345" s="5"/>
    </row>
    <row r="346" spans="1:12" customHeight="1" ht="105" outlineLevel="4">
      <c r="A346" s="1"/>
      <c r="B346" s="1">
        <v>930097</v>
      </c>
      <c r="C346" s="1" t="s">
        <v>1080</v>
      </c>
      <c r="D346" s="1"/>
      <c r="E346" s="2" t="s">
        <v>1081</v>
      </c>
      <c r="F346" s="2" t="s">
        <v>1082</v>
      </c>
      <c r="G346" s="2" t="s">
        <v>69</v>
      </c>
      <c r="H346" s="2">
        <v>0</v>
      </c>
      <c r="I346" s="1">
        <v>0</v>
      </c>
      <c r="J346" s="3" t="s">
        <v>17</v>
      </c>
      <c r="K346" s="2" t="str">
        <f>J346*267.41</f>
        <v>0</v>
      </c>
      <c r="L346" s="5"/>
    </row>
    <row r="347" spans="1:12" customHeight="1" ht="105" outlineLevel="4">
      <c r="A347" s="1"/>
      <c r="B347" s="1">
        <v>930098</v>
      </c>
      <c r="C347" s="1" t="s">
        <v>1083</v>
      </c>
      <c r="D347" s="1"/>
      <c r="E347" s="2" t="s">
        <v>1084</v>
      </c>
      <c r="F347" s="2" t="s">
        <v>1085</v>
      </c>
      <c r="G347" s="2" t="s">
        <v>82</v>
      </c>
      <c r="H347" s="2">
        <v>0</v>
      </c>
      <c r="I347" s="1">
        <v>0</v>
      </c>
      <c r="J347" s="3" t="s">
        <v>17</v>
      </c>
      <c r="K347" s="2" t="str">
        <f>J347*440.86</f>
        <v>0</v>
      </c>
      <c r="L347" s="5"/>
    </row>
    <row r="348" spans="1:12" customHeight="1" ht="105" outlineLevel="4">
      <c r="A348" s="1"/>
      <c r="B348" s="1">
        <v>930099</v>
      </c>
      <c r="C348" s="1" t="s">
        <v>1086</v>
      </c>
      <c r="D348" s="1"/>
      <c r="E348" s="2" t="s">
        <v>1087</v>
      </c>
      <c r="F348" s="2" t="s">
        <v>1088</v>
      </c>
      <c r="G348" s="2">
        <v>7</v>
      </c>
      <c r="H348" s="2">
        <v>0</v>
      </c>
      <c r="I348" s="1">
        <v>0</v>
      </c>
      <c r="J348" s="3" t="s">
        <v>17</v>
      </c>
      <c r="K348" s="2" t="str">
        <f>J348*688.39</f>
        <v>0</v>
      </c>
      <c r="L348" s="5"/>
    </row>
    <row r="349" spans="1:12" customHeight="1" ht="105" outlineLevel="4">
      <c r="A349" s="1"/>
      <c r="B349" s="1">
        <v>930100</v>
      </c>
      <c r="C349" s="1" t="s">
        <v>1089</v>
      </c>
      <c r="D349" s="1"/>
      <c r="E349" s="2" t="s">
        <v>1090</v>
      </c>
      <c r="F349" s="2" t="s">
        <v>1091</v>
      </c>
      <c r="G349" s="2" t="s">
        <v>16</v>
      </c>
      <c r="H349" s="2">
        <v>0</v>
      </c>
      <c r="I349" s="1">
        <v>0</v>
      </c>
      <c r="J349" s="3" t="s">
        <v>17</v>
      </c>
      <c r="K349" s="2" t="str">
        <f>J349*39.96</f>
        <v>0</v>
      </c>
      <c r="L349" s="5"/>
    </row>
    <row r="350" spans="1:12" customHeight="1" ht="105" outlineLevel="4">
      <c r="A350" s="1"/>
      <c r="B350" s="1">
        <v>930101</v>
      </c>
      <c r="C350" s="1" t="s">
        <v>1092</v>
      </c>
      <c r="D350" s="1"/>
      <c r="E350" s="2" t="s">
        <v>1093</v>
      </c>
      <c r="F350" s="2" t="s">
        <v>818</v>
      </c>
      <c r="G350" s="2" t="s">
        <v>34</v>
      </c>
      <c r="H350" s="2">
        <v>0</v>
      </c>
      <c r="I350" s="1">
        <v>0</v>
      </c>
      <c r="J350" s="3" t="s">
        <v>17</v>
      </c>
      <c r="K350" s="2" t="str">
        <f>J350*47.52</f>
        <v>0</v>
      </c>
      <c r="L350" s="5"/>
    </row>
    <row r="351" spans="1:12" customHeight="1" ht="105" outlineLevel="4">
      <c r="A351" s="1"/>
      <c r="B351" s="1">
        <v>930102</v>
      </c>
      <c r="C351" s="1" t="s">
        <v>1094</v>
      </c>
      <c r="D351" s="1"/>
      <c r="E351" s="2" t="s">
        <v>1095</v>
      </c>
      <c r="F351" s="2" t="s">
        <v>1096</v>
      </c>
      <c r="G351" s="2" t="s">
        <v>34</v>
      </c>
      <c r="H351" s="2">
        <v>0</v>
      </c>
      <c r="I351" s="1">
        <v>0</v>
      </c>
      <c r="J351" s="3" t="s">
        <v>17</v>
      </c>
      <c r="K351" s="2" t="str">
        <f>J351*56.16</f>
        <v>0</v>
      </c>
      <c r="L351" s="5"/>
    </row>
    <row r="352" spans="1:12" customHeight="1" ht="105" outlineLevel="4">
      <c r="A352" s="1"/>
      <c r="B352" s="1">
        <v>930103</v>
      </c>
      <c r="C352" s="1" t="s">
        <v>1097</v>
      </c>
      <c r="D352" s="1"/>
      <c r="E352" s="2" t="s">
        <v>1098</v>
      </c>
      <c r="F352" s="2" t="s">
        <v>1099</v>
      </c>
      <c r="G352" s="2">
        <v>0</v>
      </c>
      <c r="H352" s="2">
        <v>0</v>
      </c>
      <c r="I352" s="1">
        <v>0</v>
      </c>
      <c r="J352" s="3" t="s">
        <v>17</v>
      </c>
      <c r="K352" s="2" t="str">
        <f>J352*519.91</f>
        <v>0</v>
      </c>
      <c r="L352" s="5"/>
    </row>
    <row r="353" spans="1:12" customHeight="1" ht="105" outlineLevel="4">
      <c r="A353" s="1"/>
      <c r="B353" s="1">
        <v>930104</v>
      </c>
      <c r="C353" s="1" t="s">
        <v>1100</v>
      </c>
      <c r="D353" s="1"/>
      <c r="E353" s="2" t="s">
        <v>1101</v>
      </c>
      <c r="F353" s="2" t="s">
        <v>1102</v>
      </c>
      <c r="G353" s="2">
        <v>0</v>
      </c>
      <c r="H353" s="2">
        <v>0</v>
      </c>
      <c r="I353" s="1">
        <v>0</v>
      </c>
      <c r="J353" s="3" t="s">
        <v>17</v>
      </c>
      <c r="K353" s="2" t="str">
        <f>J353*662.26</f>
        <v>0</v>
      </c>
      <c r="L353" s="5"/>
    </row>
    <row r="354" spans="1:12" customHeight="1" ht="105" outlineLevel="4">
      <c r="A354" s="1"/>
      <c r="B354" s="1">
        <v>930105</v>
      </c>
      <c r="C354" s="1" t="s">
        <v>1103</v>
      </c>
      <c r="D354" s="1"/>
      <c r="E354" s="2" t="s">
        <v>1104</v>
      </c>
      <c r="F354" s="2" t="s">
        <v>1105</v>
      </c>
      <c r="G354" s="2">
        <v>0</v>
      </c>
      <c r="H354" s="2">
        <v>0</v>
      </c>
      <c r="I354" s="1">
        <v>0</v>
      </c>
      <c r="J354" s="3" t="s">
        <v>17</v>
      </c>
      <c r="K354" s="2" t="str">
        <f>J354*509.76</f>
        <v>0</v>
      </c>
      <c r="L354" s="5"/>
    </row>
    <row r="355" spans="1:12" customHeight="1" ht="105" outlineLevel="4">
      <c r="A355" s="1"/>
      <c r="B355" s="1">
        <v>930106</v>
      </c>
      <c r="C355" s="1" t="s">
        <v>1106</v>
      </c>
      <c r="D355" s="1"/>
      <c r="E355" s="2" t="s">
        <v>1107</v>
      </c>
      <c r="F355" s="2" t="s">
        <v>1108</v>
      </c>
      <c r="G355" s="2">
        <v>0</v>
      </c>
      <c r="H355" s="2">
        <v>0</v>
      </c>
      <c r="I355" s="1">
        <v>0</v>
      </c>
      <c r="J355" s="3" t="s">
        <v>17</v>
      </c>
      <c r="K355" s="2" t="str">
        <f>J355*721.44</f>
        <v>0</v>
      </c>
      <c r="L355" s="5"/>
    </row>
    <row r="356" spans="1:12" customHeight="1" ht="105" outlineLevel="4">
      <c r="A356" s="1"/>
      <c r="B356" s="1">
        <v>930107</v>
      </c>
      <c r="C356" s="1" t="s">
        <v>1109</v>
      </c>
      <c r="D356" s="1"/>
      <c r="E356" s="2" t="s">
        <v>1110</v>
      </c>
      <c r="F356" s="2" t="s">
        <v>1111</v>
      </c>
      <c r="G356" s="2">
        <v>0</v>
      </c>
      <c r="H356" s="2">
        <v>0</v>
      </c>
      <c r="I356" s="1">
        <v>0</v>
      </c>
      <c r="J356" s="3" t="s">
        <v>17</v>
      </c>
      <c r="K356" s="2" t="str">
        <f>J356*937.66</f>
        <v>0</v>
      </c>
      <c r="L356" s="5"/>
    </row>
    <row r="357" spans="1:12" customHeight="1" ht="105" outlineLevel="4">
      <c r="A357" s="1"/>
      <c r="B357" s="1">
        <v>930108</v>
      </c>
      <c r="C357" s="1" t="s">
        <v>1112</v>
      </c>
      <c r="D357" s="1"/>
      <c r="E357" s="2" t="s">
        <v>1113</v>
      </c>
      <c r="F357" s="2" t="s">
        <v>1114</v>
      </c>
      <c r="G357" s="2">
        <v>0</v>
      </c>
      <c r="H357" s="2">
        <v>0</v>
      </c>
      <c r="I357" s="1">
        <v>0</v>
      </c>
      <c r="J357" s="3" t="s">
        <v>17</v>
      </c>
      <c r="K357" s="2" t="str">
        <f>J357*1032.48</f>
        <v>0</v>
      </c>
      <c r="L357" s="5"/>
    </row>
    <row r="358" spans="1:12" customHeight="1" ht="105" outlineLevel="4">
      <c r="A358" s="1"/>
      <c r="B358" s="1">
        <v>930109</v>
      </c>
      <c r="C358" s="1" t="s">
        <v>1115</v>
      </c>
      <c r="D358" s="1"/>
      <c r="E358" s="2" t="s">
        <v>1116</v>
      </c>
      <c r="F358" s="2" t="s">
        <v>1117</v>
      </c>
      <c r="G358" s="2">
        <v>0</v>
      </c>
      <c r="H358" s="2">
        <v>0</v>
      </c>
      <c r="I358" s="1">
        <v>0</v>
      </c>
      <c r="J358" s="3" t="s">
        <v>17</v>
      </c>
      <c r="K358" s="2" t="str">
        <f>J358*927.29</f>
        <v>0</v>
      </c>
      <c r="L358" s="5"/>
    </row>
    <row r="359" spans="1:12" customHeight="1" ht="105" outlineLevel="4">
      <c r="A359" s="1"/>
      <c r="B359" s="1">
        <v>930110</v>
      </c>
      <c r="C359" s="1" t="s">
        <v>1118</v>
      </c>
      <c r="D359" s="1"/>
      <c r="E359" s="2" t="s">
        <v>1119</v>
      </c>
      <c r="F359" s="2" t="s">
        <v>1120</v>
      </c>
      <c r="G359" s="2">
        <v>0</v>
      </c>
      <c r="H359" s="2">
        <v>0</v>
      </c>
      <c r="I359" s="1">
        <v>0</v>
      </c>
      <c r="J359" s="3" t="s">
        <v>17</v>
      </c>
      <c r="K359" s="2" t="str">
        <f>J359*1022.11</f>
        <v>0</v>
      </c>
      <c r="L359" s="5"/>
    </row>
    <row r="360" spans="1:12" customHeight="1" ht="105" outlineLevel="4">
      <c r="A360" s="1"/>
      <c r="B360" s="1">
        <v>930111</v>
      </c>
      <c r="C360" s="1" t="s">
        <v>1121</v>
      </c>
      <c r="D360" s="1"/>
      <c r="E360" s="2" t="s">
        <v>1122</v>
      </c>
      <c r="F360" s="2" t="s">
        <v>1123</v>
      </c>
      <c r="G360" s="2">
        <v>0</v>
      </c>
      <c r="H360" s="2">
        <v>0</v>
      </c>
      <c r="I360" s="1">
        <v>0</v>
      </c>
      <c r="J360" s="3" t="s">
        <v>17</v>
      </c>
      <c r="K360" s="2" t="str">
        <f>J360*1432.51</f>
        <v>0</v>
      </c>
      <c r="L360" s="5"/>
    </row>
    <row r="361" spans="1:12" customHeight="1" ht="105" outlineLevel="4">
      <c r="A361" s="1"/>
      <c r="B361" s="1">
        <v>930112</v>
      </c>
      <c r="C361" s="1" t="s">
        <v>1124</v>
      </c>
      <c r="D361" s="1"/>
      <c r="E361" s="2" t="s">
        <v>1125</v>
      </c>
      <c r="F361" s="2" t="s">
        <v>1126</v>
      </c>
      <c r="G361" s="2" t="s">
        <v>82</v>
      </c>
      <c r="H361" s="2">
        <v>0</v>
      </c>
      <c r="I361" s="1">
        <v>0</v>
      </c>
      <c r="J361" s="3" t="s">
        <v>17</v>
      </c>
      <c r="K361" s="2" t="str">
        <f>J361*2234.95</f>
        <v>0</v>
      </c>
      <c r="L361" s="5"/>
    </row>
    <row r="362" spans="1:12" customHeight="1" ht="105" outlineLevel="4">
      <c r="A362" s="1"/>
      <c r="B362" s="1">
        <v>930113</v>
      </c>
      <c r="C362" s="1" t="s">
        <v>1127</v>
      </c>
      <c r="D362" s="1"/>
      <c r="E362" s="2" t="s">
        <v>1128</v>
      </c>
      <c r="F362" s="2" t="s">
        <v>1129</v>
      </c>
      <c r="G362" s="2">
        <v>10</v>
      </c>
      <c r="H362" s="2">
        <v>0</v>
      </c>
      <c r="I362" s="1">
        <v>0</v>
      </c>
      <c r="J362" s="3" t="s">
        <v>17</v>
      </c>
      <c r="K362" s="2" t="str">
        <f>J362*1420.63</f>
        <v>0</v>
      </c>
      <c r="L362" s="5"/>
    </row>
    <row r="363" spans="1:12" customHeight="1" ht="105" outlineLevel="4">
      <c r="A363" s="1"/>
      <c r="B363" s="1">
        <v>930114</v>
      </c>
      <c r="C363" s="1" t="s">
        <v>1130</v>
      </c>
      <c r="D363" s="1"/>
      <c r="E363" s="2" t="s">
        <v>1131</v>
      </c>
      <c r="F363" s="2" t="s">
        <v>1132</v>
      </c>
      <c r="G363" s="2">
        <v>8</v>
      </c>
      <c r="H363" s="2">
        <v>0</v>
      </c>
      <c r="I363" s="1">
        <v>0</v>
      </c>
      <c r="J363" s="3" t="s">
        <v>17</v>
      </c>
      <c r="K363" s="2" t="str">
        <f>J363*2275.78</f>
        <v>0</v>
      </c>
      <c r="L363" s="5"/>
    </row>
    <row r="364" spans="1:12" customHeight="1" ht="105" outlineLevel="4">
      <c r="A364" s="1"/>
      <c r="B364" s="1">
        <v>930115</v>
      </c>
      <c r="C364" s="1" t="s">
        <v>1133</v>
      </c>
      <c r="D364" s="1"/>
      <c r="E364" s="2" t="s">
        <v>1134</v>
      </c>
      <c r="F364" s="2" t="s">
        <v>1135</v>
      </c>
      <c r="G364" s="2" t="s">
        <v>82</v>
      </c>
      <c r="H364" s="2">
        <v>0</v>
      </c>
      <c r="I364" s="1">
        <v>0</v>
      </c>
      <c r="J364" s="3" t="s">
        <v>17</v>
      </c>
      <c r="K364" s="2" t="str">
        <f>J364*1175.47</f>
        <v>0</v>
      </c>
      <c r="L364" s="5"/>
    </row>
    <row r="365" spans="1:12" customHeight="1" ht="105" outlineLevel="4">
      <c r="A365" s="1"/>
      <c r="B365" s="1">
        <v>930116</v>
      </c>
      <c r="C365" s="1" t="s">
        <v>1136</v>
      </c>
      <c r="D365" s="1"/>
      <c r="E365" s="2" t="s">
        <v>1137</v>
      </c>
      <c r="F365" s="2" t="s">
        <v>1138</v>
      </c>
      <c r="G365" s="2" t="s">
        <v>82</v>
      </c>
      <c r="H365" s="2">
        <v>0</v>
      </c>
      <c r="I365" s="1">
        <v>0</v>
      </c>
      <c r="J365" s="3" t="s">
        <v>17</v>
      </c>
      <c r="K365" s="2" t="str">
        <f>J365*1822.82</f>
        <v>0</v>
      </c>
      <c r="L365" s="5"/>
    </row>
    <row r="366" spans="1:12" customHeight="1" ht="105" outlineLevel="4">
      <c r="A366" s="1"/>
      <c r="B366" s="1">
        <v>930117</v>
      </c>
      <c r="C366" s="1" t="s">
        <v>1139</v>
      </c>
      <c r="D366" s="1"/>
      <c r="E366" s="2" t="s">
        <v>1140</v>
      </c>
      <c r="F366" s="2" t="s">
        <v>1141</v>
      </c>
      <c r="G366" s="2" t="s">
        <v>82</v>
      </c>
      <c r="H366" s="2">
        <v>0</v>
      </c>
      <c r="I366" s="1">
        <v>0</v>
      </c>
      <c r="J366" s="3" t="s">
        <v>17</v>
      </c>
      <c r="K366" s="2" t="str">
        <f>J366*1101.17</f>
        <v>0</v>
      </c>
      <c r="L366" s="5"/>
    </row>
    <row r="367" spans="1:12" customHeight="1" ht="105" outlineLevel="4">
      <c r="A367" s="1"/>
      <c r="B367" s="1">
        <v>930118</v>
      </c>
      <c r="C367" s="1" t="s">
        <v>1142</v>
      </c>
      <c r="D367" s="1"/>
      <c r="E367" s="2" t="s">
        <v>1143</v>
      </c>
      <c r="F367" s="2" t="s">
        <v>1144</v>
      </c>
      <c r="G367" s="2">
        <v>10</v>
      </c>
      <c r="H367" s="2">
        <v>0</v>
      </c>
      <c r="I367" s="1">
        <v>0</v>
      </c>
      <c r="J367" s="3" t="s">
        <v>17</v>
      </c>
      <c r="K367" s="2" t="str">
        <f>J367*1874.66</f>
        <v>0</v>
      </c>
      <c r="L367" s="5"/>
    </row>
    <row r="368" spans="1:12" customHeight="1" ht="105" outlineLevel="4">
      <c r="A368" s="1"/>
      <c r="B368" s="1">
        <v>930119</v>
      </c>
      <c r="C368" s="1" t="s">
        <v>1145</v>
      </c>
      <c r="D368" s="1"/>
      <c r="E368" s="2" t="s">
        <v>1146</v>
      </c>
      <c r="F368" s="2" t="s">
        <v>1147</v>
      </c>
      <c r="G368" s="2">
        <v>10</v>
      </c>
      <c r="H368" s="2">
        <v>0</v>
      </c>
      <c r="I368" s="1">
        <v>0</v>
      </c>
      <c r="J368" s="3" t="s">
        <v>17</v>
      </c>
      <c r="K368" s="2" t="str">
        <f>J368*1316.95</f>
        <v>0</v>
      </c>
      <c r="L368" s="5"/>
    </row>
    <row r="369" spans="1:12" customHeight="1" ht="105" outlineLevel="4">
      <c r="A369" s="1"/>
      <c r="B369" s="1">
        <v>930120</v>
      </c>
      <c r="C369" s="1" t="s">
        <v>1148</v>
      </c>
      <c r="D369" s="1"/>
      <c r="E369" s="2" t="s">
        <v>1149</v>
      </c>
      <c r="F369" s="2" t="s">
        <v>1150</v>
      </c>
      <c r="G369" s="2" t="s">
        <v>82</v>
      </c>
      <c r="H369" s="2">
        <v>0</v>
      </c>
      <c r="I369" s="1">
        <v>0</v>
      </c>
      <c r="J369" s="3" t="s">
        <v>17</v>
      </c>
      <c r="K369" s="2" t="str">
        <f>J369*1649.38</f>
        <v>0</v>
      </c>
      <c r="L369" s="5"/>
    </row>
    <row r="370" spans="1:12" customHeight="1" ht="105" outlineLevel="4">
      <c r="A370" s="1"/>
      <c r="B370" s="1">
        <v>930121</v>
      </c>
      <c r="C370" s="1" t="s">
        <v>1151</v>
      </c>
      <c r="D370" s="1"/>
      <c r="E370" s="2" t="s">
        <v>1152</v>
      </c>
      <c r="F370" s="2" t="s">
        <v>1153</v>
      </c>
      <c r="G370" s="2">
        <v>0</v>
      </c>
      <c r="H370" s="2">
        <v>0</v>
      </c>
      <c r="I370" s="1">
        <v>0</v>
      </c>
      <c r="J370" s="3" t="s">
        <v>17</v>
      </c>
      <c r="K370" s="2" t="str">
        <f>J370*969.84</f>
        <v>0</v>
      </c>
      <c r="L370" s="5"/>
    </row>
    <row r="371" spans="1:12" customHeight="1" ht="105" outlineLevel="4">
      <c r="A371" s="1"/>
      <c r="B371" s="1">
        <v>930122</v>
      </c>
      <c r="C371" s="1" t="s">
        <v>1154</v>
      </c>
      <c r="D371" s="1"/>
      <c r="E371" s="2" t="s">
        <v>1155</v>
      </c>
      <c r="F371" s="2" t="s">
        <v>1156</v>
      </c>
      <c r="G371" s="2">
        <v>10</v>
      </c>
      <c r="H371" s="2">
        <v>0</v>
      </c>
      <c r="I371" s="1">
        <v>0</v>
      </c>
      <c r="J371" s="3" t="s">
        <v>17</v>
      </c>
      <c r="K371" s="2" t="str">
        <f>J371*1296.22</f>
        <v>0</v>
      </c>
      <c r="L371" s="5"/>
    </row>
    <row r="372" spans="1:12" customHeight="1" ht="105" outlineLevel="4">
      <c r="A372" s="1"/>
      <c r="B372" s="1">
        <v>930123</v>
      </c>
      <c r="C372" s="1" t="s">
        <v>1157</v>
      </c>
      <c r="D372" s="1"/>
      <c r="E372" s="2" t="s">
        <v>1158</v>
      </c>
      <c r="F372" s="2" t="s">
        <v>1159</v>
      </c>
      <c r="G372" s="2" t="s">
        <v>21</v>
      </c>
      <c r="H372" s="2">
        <v>0</v>
      </c>
      <c r="I372" s="1">
        <v>0</v>
      </c>
      <c r="J372" s="3" t="s">
        <v>17</v>
      </c>
      <c r="K372" s="2" t="str">
        <f>J372*5.32</f>
        <v>0</v>
      </c>
      <c r="L372" s="5"/>
    </row>
    <row r="373" spans="1:12" customHeight="1" ht="105" outlineLevel="4">
      <c r="A373" s="1"/>
      <c r="B373" s="1">
        <v>930124</v>
      </c>
      <c r="C373" s="1" t="s">
        <v>1160</v>
      </c>
      <c r="D373" s="1" t="s">
        <v>1161</v>
      </c>
      <c r="E373" s="2" t="s">
        <v>1162</v>
      </c>
      <c r="F373" s="2" t="s">
        <v>1163</v>
      </c>
      <c r="G373" s="2" t="s">
        <v>16</v>
      </c>
      <c r="H373" s="2">
        <v>0</v>
      </c>
      <c r="I373" s="1">
        <v>0</v>
      </c>
      <c r="J373" s="3" t="s">
        <v>17</v>
      </c>
      <c r="K373" s="2" t="str">
        <f>J373*8.12</f>
        <v>0</v>
      </c>
      <c r="L373" s="5"/>
    </row>
    <row r="374" spans="1:12" customHeight="1" ht="105" outlineLevel="4">
      <c r="A374" s="1"/>
      <c r="B374" s="1">
        <v>930125</v>
      </c>
      <c r="C374" s="1" t="s">
        <v>1164</v>
      </c>
      <c r="D374" s="1"/>
      <c r="E374" s="2" t="s">
        <v>1165</v>
      </c>
      <c r="F374" s="2" t="s">
        <v>1166</v>
      </c>
      <c r="G374" s="2" t="s">
        <v>34</v>
      </c>
      <c r="H374" s="2">
        <v>0</v>
      </c>
      <c r="I374" s="1">
        <v>0</v>
      </c>
      <c r="J374" s="3" t="s">
        <v>17</v>
      </c>
      <c r="K374" s="2" t="str">
        <f>J374*14.51</f>
        <v>0</v>
      </c>
      <c r="L374" s="5"/>
    </row>
    <row r="375" spans="1:12" customHeight="1" ht="105" outlineLevel="4">
      <c r="A375" s="1"/>
      <c r="B375" s="1">
        <v>930126</v>
      </c>
      <c r="C375" s="1" t="s">
        <v>1167</v>
      </c>
      <c r="D375" s="1"/>
      <c r="E375" s="2" t="s">
        <v>1168</v>
      </c>
      <c r="F375" s="2" t="s">
        <v>1169</v>
      </c>
      <c r="G375" s="2" t="s">
        <v>34</v>
      </c>
      <c r="H375" s="2">
        <v>0</v>
      </c>
      <c r="I375" s="1">
        <v>0</v>
      </c>
      <c r="J375" s="3" t="s">
        <v>17</v>
      </c>
      <c r="K375" s="2" t="str">
        <f>J375*29.38</f>
        <v>0</v>
      </c>
      <c r="L375" s="5"/>
    </row>
    <row r="376" spans="1:12" customHeight="1" ht="105" outlineLevel="4">
      <c r="A376" s="1"/>
      <c r="B376" s="1">
        <v>930127</v>
      </c>
      <c r="C376" s="1" t="s">
        <v>1170</v>
      </c>
      <c r="D376" s="1"/>
      <c r="E376" s="2" t="s">
        <v>1171</v>
      </c>
      <c r="F376" s="2" t="s">
        <v>1172</v>
      </c>
      <c r="G376" s="2" t="s">
        <v>69</v>
      </c>
      <c r="H376" s="2">
        <v>0</v>
      </c>
      <c r="I376" s="1">
        <v>0</v>
      </c>
      <c r="J376" s="3" t="s">
        <v>17</v>
      </c>
      <c r="K376" s="2" t="str">
        <f>J376*51.62</f>
        <v>0</v>
      </c>
      <c r="L376" s="5"/>
    </row>
    <row r="377" spans="1:12" customHeight="1" ht="105" outlineLevel="4">
      <c r="A377" s="1"/>
      <c r="B377" s="1">
        <v>930128</v>
      </c>
      <c r="C377" s="1" t="s">
        <v>1173</v>
      </c>
      <c r="D377" s="1"/>
      <c r="E377" s="2" t="s">
        <v>1174</v>
      </c>
      <c r="F377" s="2" t="s">
        <v>1066</v>
      </c>
      <c r="G377" s="2" t="s">
        <v>82</v>
      </c>
      <c r="H377" s="2">
        <v>0</v>
      </c>
      <c r="I377" s="1">
        <v>0</v>
      </c>
      <c r="J377" s="3" t="s">
        <v>17</v>
      </c>
      <c r="K377" s="2" t="str">
        <f>J377*87.70</f>
        <v>0</v>
      </c>
      <c r="L377" s="5"/>
    </row>
    <row r="378" spans="1:12" customHeight="1" ht="105" outlineLevel="4">
      <c r="A378" s="1"/>
      <c r="B378" s="1">
        <v>930129</v>
      </c>
      <c r="C378" s="1" t="s">
        <v>1175</v>
      </c>
      <c r="D378" s="1"/>
      <c r="E378" s="2" t="s">
        <v>1176</v>
      </c>
      <c r="F378" s="2" t="s">
        <v>1177</v>
      </c>
      <c r="G378" s="2">
        <v>0</v>
      </c>
      <c r="H378" s="2">
        <v>0</v>
      </c>
      <c r="I378" s="1">
        <v>0</v>
      </c>
      <c r="J378" s="3" t="s">
        <v>17</v>
      </c>
      <c r="K378" s="2" t="str">
        <f>J378*185.33</f>
        <v>0</v>
      </c>
      <c r="L378" s="5"/>
    </row>
    <row r="379" spans="1:12" customHeight="1" ht="105" outlineLevel="4">
      <c r="A379" s="1"/>
      <c r="B379" s="1">
        <v>930130</v>
      </c>
      <c r="C379" s="1" t="s">
        <v>1178</v>
      </c>
      <c r="D379" s="1"/>
      <c r="E379" s="2" t="s">
        <v>1179</v>
      </c>
      <c r="F379" s="2" t="s">
        <v>1180</v>
      </c>
      <c r="G379" s="2">
        <v>0</v>
      </c>
      <c r="H379" s="2">
        <v>0</v>
      </c>
      <c r="I379" s="1">
        <v>0</v>
      </c>
      <c r="J379" s="3" t="s">
        <v>17</v>
      </c>
      <c r="K379" s="2" t="str">
        <f>J379*242.57</f>
        <v>0</v>
      </c>
      <c r="L379" s="5"/>
    </row>
    <row r="380" spans="1:12" customHeight="1" ht="105" outlineLevel="4">
      <c r="A380" s="1"/>
      <c r="B380" s="1">
        <v>930131</v>
      </c>
      <c r="C380" s="1" t="s">
        <v>1181</v>
      </c>
      <c r="D380" s="1"/>
      <c r="E380" s="2" t="s">
        <v>1182</v>
      </c>
      <c r="F380" s="2" t="s">
        <v>1183</v>
      </c>
      <c r="G380" s="2">
        <v>0</v>
      </c>
      <c r="H380" s="2">
        <v>0</v>
      </c>
      <c r="I380" s="1">
        <v>0</v>
      </c>
      <c r="J380" s="3" t="s">
        <v>17</v>
      </c>
      <c r="K380" s="2" t="str">
        <f>J380*401.54</f>
        <v>0</v>
      </c>
      <c r="L380" s="5"/>
    </row>
    <row r="381" spans="1:12" customHeight="1" ht="105" outlineLevel="4">
      <c r="A381" s="1"/>
      <c r="B381" s="1">
        <v>930132</v>
      </c>
      <c r="C381" s="1" t="s">
        <v>1184</v>
      </c>
      <c r="D381" s="1"/>
      <c r="E381" s="2" t="s">
        <v>1185</v>
      </c>
      <c r="F381" s="2" t="s">
        <v>1186</v>
      </c>
      <c r="G381" s="2">
        <v>0</v>
      </c>
      <c r="H381" s="2">
        <v>0</v>
      </c>
      <c r="I381" s="1">
        <v>0</v>
      </c>
      <c r="J381" s="3" t="s">
        <v>17</v>
      </c>
      <c r="K381" s="2" t="str">
        <f>J381*756.86</f>
        <v>0</v>
      </c>
      <c r="L381" s="5"/>
    </row>
    <row r="382" spans="1:12" customHeight="1" ht="105" outlineLevel="4">
      <c r="A382" s="1"/>
      <c r="B382" s="1">
        <v>930133</v>
      </c>
      <c r="C382" s="1" t="s">
        <v>1187</v>
      </c>
      <c r="D382" s="1"/>
      <c r="E382" s="2" t="s">
        <v>1188</v>
      </c>
      <c r="F382" s="2" t="s">
        <v>1189</v>
      </c>
      <c r="G382" s="2">
        <v>0</v>
      </c>
      <c r="H382" s="2">
        <v>0</v>
      </c>
      <c r="I382" s="1">
        <v>0</v>
      </c>
      <c r="J382" s="3" t="s">
        <v>17</v>
      </c>
      <c r="K382" s="2" t="str">
        <f>J382*1058.40</f>
        <v>0</v>
      </c>
      <c r="L382" s="5"/>
    </row>
    <row r="383" spans="1:12" customHeight="1" ht="105" outlineLevel="4">
      <c r="A383" s="1"/>
      <c r="B383" s="1">
        <v>930134</v>
      </c>
      <c r="C383" s="1" t="s">
        <v>1190</v>
      </c>
      <c r="D383" s="1"/>
      <c r="E383" s="2" t="s">
        <v>1191</v>
      </c>
      <c r="F383" s="2" t="s">
        <v>1192</v>
      </c>
      <c r="G383" s="2" t="s">
        <v>16</v>
      </c>
      <c r="H383" s="2">
        <v>0</v>
      </c>
      <c r="I383" s="1">
        <v>0</v>
      </c>
      <c r="J383" s="3" t="s">
        <v>17</v>
      </c>
      <c r="K383" s="2" t="str">
        <f>J383*4.32</f>
        <v>0</v>
      </c>
      <c r="L383" s="5"/>
    </row>
    <row r="384" spans="1:12" customHeight="1" ht="105" outlineLevel="4">
      <c r="A384" s="1"/>
      <c r="B384" s="1">
        <v>930135</v>
      </c>
      <c r="C384" s="1" t="s">
        <v>1193</v>
      </c>
      <c r="D384" s="1"/>
      <c r="E384" s="2" t="s">
        <v>1194</v>
      </c>
      <c r="F384" s="2" t="s">
        <v>1195</v>
      </c>
      <c r="G384" s="2" t="s">
        <v>34</v>
      </c>
      <c r="H384" s="2">
        <v>0</v>
      </c>
      <c r="I384" s="1">
        <v>0</v>
      </c>
      <c r="J384" s="3" t="s">
        <v>17</v>
      </c>
      <c r="K384" s="2" t="str">
        <f>J384*6.91</f>
        <v>0</v>
      </c>
      <c r="L384" s="5"/>
    </row>
    <row r="385" spans="1:12" customHeight="1" ht="105" outlineLevel="4">
      <c r="A385" s="1"/>
      <c r="B385" s="1">
        <v>930136</v>
      </c>
      <c r="C385" s="1" t="s">
        <v>1196</v>
      </c>
      <c r="D385" s="1"/>
      <c r="E385" s="2" t="s">
        <v>1197</v>
      </c>
      <c r="F385" s="2" t="s">
        <v>1198</v>
      </c>
      <c r="G385" s="2" t="s">
        <v>69</v>
      </c>
      <c r="H385" s="2">
        <v>0</v>
      </c>
      <c r="I385" s="1">
        <v>0</v>
      </c>
      <c r="J385" s="3" t="s">
        <v>17</v>
      </c>
      <c r="K385" s="2" t="str">
        <f>J385*11.02</f>
        <v>0</v>
      </c>
      <c r="L385" s="5"/>
    </row>
    <row r="386" spans="1:12" customHeight="1" ht="105" outlineLevel="4">
      <c r="A386" s="1"/>
      <c r="B386" s="1">
        <v>930137</v>
      </c>
      <c r="C386" s="1" t="s">
        <v>1199</v>
      </c>
      <c r="D386" s="1"/>
      <c r="E386" s="2" t="s">
        <v>1200</v>
      </c>
      <c r="F386" s="2" t="s">
        <v>1201</v>
      </c>
      <c r="G386" s="2" t="s">
        <v>16</v>
      </c>
      <c r="H386" s="2">
        <v>0</v>
      </c>
      <c r="I386" s="1">
        <v>0</v>
      </c>
      <c r="J386" s="3" t="s">
        <v>17</v>
      </c>
      <c r="K386" s="2" t="str">
        <f>J386*26.14</f>
        <v>0</v>
      </c>
      <c r="L386" s="5"/>
    </row>
    <row r="387" spans="1:12" customHeight="1" ht="105" outlineLevel="4">
      <c r="A387" s="1"/>
      <c r="B387" s="1">
        <v>930138</v>
      </c>
      <c r="C387" s="1" t="s">
        <v>1202</v>
      </c>
      <c r="D387" s="1"/>
      <c r="E387" s="2" t="s">
        <v>1203</v>
      </c>
      <c r="F387" s="2" t="s">
        <v>1204</v>
      </c>
      <c r="G387" s="2" t="s">
        <v>69</v>
      </c>
      <c r="H387" s="2">
        <v>0</v>
      </c>
      <c r="I387" s="1">
        <v>0</v>
      </c>
      <c r="J387" s="3" t="s">
        <v>17</v>
      </c>
      <c r="K387" s="2" t="str">
        <f>J387*31.32</f>
        <v>0</v>
      </c>
      <c r="L387" s="5"/>
    </row>
    <row r="388" spans="1:12" customHeight="1" ht="105" outlineLevel="4">
      <c r="A388" s="1"/>
      <c r="B388" s="1">
        <v>930139</v>
      </c>
      <c r="C388" s="1" t="s">
        <v>1205</v>
      </c>
      <c r="D388" s="1"/>
      <c r="E388" s="2" t="s">
        <v>1206</v>
      </c>
      <c r="F388" s="2" t="s">
        <v>1096</v>
      </c>
      <c r="G388" s="2" t="s">
        <v>69</v>
      </c>
      <c r="H388" s="2">
        <v>0</v>
      </c>
      <c r="I388" s="1">
        <v>0</v>
      </c>
      <c r="J388" s="3" t="s">
        <v>17</v>
      </c>
      <c r="K388" s="2" t="str">
        <f>J388*56.16</f>
        <v>0</v>
      </c>
      <c r="L388" s="5"/>
    </row>
    <row r="389" spans="1:12" customHeight="1" ht="105" outlineLevel="4">
      <c r="A389" s="1"/>
      <c r="B389" s="1">
        <v>930140</v>
      </c>
      <c r="C389" s="1" t="s">
        <v>1207</v>
      </c>
      <c r="D389" s="1"/>
      <c r="E389" s="2" t="s">
        <v>1208</v>
      </c>
      <c r="F389" s="2" t="s">
        <v>1209</v>
      </c>
      <c r="G389" s="2" t="s">
        <v>82</v>
      </c>
      <c r="H389" s="2">
        <v>0</v>
      </c>
      <c r="I389" s="1">
        <v>0</v>
      </c>
      <c r="J389" s="3" t="s">
        <v>17</v>
      </c>
      <c r="K389" s="2" t="str">
        <f>J389*72.36</f>
        <v>0</v>
      </c>
      <c r="L389" s="5"/>
    </row>
    <row r="390" spans="1:12" customHeight="1" ht="105" outlineLevel="4">
      <c r="A390" s="1"/>
      <c r="B390" s="1">
        <v>930141</v>
      </c>
      <c r="C390" s="1" t="s">
        <v>1210</v>
      </c>
      <c r="D390" s="1"/>
      <c r="E390" s="2" t="s">
        <v>1211</v>
      </c>
      <c r="F390" s="2" t="s">
        <v>258</v>
      </c>
      <c r="G390" s="2">
        <v>8</v>
      </c>
      <c r="H390" s="2">
        <v>0</v>
      </c>
      <c r="I390" s="1">
        <v>0</v>
      </c>
      <c r="J390" s="3" t="s">
        <v>17</v>
      </c>
      <c r="K390" s="2" t="str">
        <f>J390*146.45</f>
        <v>0</v>
      </c>
      <c r="L390" s="5"/>
    </row>
    <row r="391" spans="1:12" customHeight="1" ht="105" outlineLevel="4">
      <c r="A391" s="1"/>
      <c r="B391" s="1">
        <v>930142</v>
      </c>
      <c r="C391" s="1" t="s">
        <v>1212</v>
      </c>
      <c r="D391" s="1"/>
      <c r="E391" s="2" t="s">
        <v>1213</v>
      </c>
      <c r="F391" s="2" t="s">
        <v>166</v>
      </c>
      <c r="G391" s="2" t="s">
        <v>16</v>
      </c>
      <c r="H391" s="2">
        <v>0</v>
      </c>
      <c r="I391" s="1">
        <v>0</v>
      </c>
      <c r="J391" s="3" t="s">
        <v>17</v>
      </c>
      <c r="K391" s="2" t="str">
        <f>J391*31.97</f>
        <v>0</v>
      </c>
      <c r="L391" s="5"/>
    </row>
    <row r="392" spans="1:12" customHeight="1" ht="105" outlineLevel="4">
      <c r="A392" s="1"/>
      <c r="B392" s="1">
        <v>930143</v>
      </c>
      <c r="C392" s="1" t="s">
        <v>1214</v>
      </c>
      <c r="D392" s="1"/>
      <c r="E392" s="2" t="s">
        <v>1215</v>
      </c>
      <c r="F392" s="2" t="s">
        <v>1216</v>
      </c>
      <c r="G392" s="2" t="s">
        <v>34</v>
      </c>
      <c r="H392" s="2">
        <v>0</v>
      </c>
      <c r="I392" s="1">
        <v>0</v>
      </c>
      <c r="J392" s="3" t="s">
        <v>17</v>
      </c>
      <c r="K392" s="2" t="str">
        <f>J392*46.66</f>
        <v>0</v>
      </c>
      <c r="L392" s="5"/>
    </row>
    <row r="393" spans="1:12" customHeight="1" ht="105" outlineLevel="4">
      <c r="A393" s="1"/>
      <c r="B393" s="1">
        <v>930144</v>
      </c>
      <c r="C393" s="1" t="s">
        <v>1217</v>
      </c>
      <c r="D393" s="1"/>
      <c r="E393" s="2" t="s">
        <v>1218</v>
      </c>
      <c r="F393" s="2" t="s">
        <v>1219</v>
      </c>
      <c r="G393" s="2" t="s">
        <v>82</v>
      </c>
      <c r="H393" s="2">
        <v>0</v>
      </c>
      <c r="I393" s="1">
        <v>0</v>
      </c>
      <c r="J393" s="3" t="s">
        <v>17</v>
      </c>
      <c r="K393" s="2" t="str">
        <f>J393*82.30</f>
        <v>0</v>
      </c>
      <c r="L393" s="5"/>
    </row>
    <row r="394" spans="1:12" customHeight="1" ht="105" outlineLevel="4">
      <c r="A394" s="1"/>
      <c r="B394" s="1">
        <v>930145</v>
      </c>
      <c r="C394" s="1" t="s">
        <v>1220</v>
      </c>
      <c r="D394" s="1"/>
      <c r="E394" s="2" t="s">
        <v>1221</v>
      </c>
      <c r="F394" s="2" t="s">
        <v>1222</v>
      </c>
      <c r="G394" s="2" t="s">
        <v>82</v>
      </c>
      <c r="H394" s="2">
        <v>0</v>
      </c>
      <c r="I394" s="1">
        <v>0</v>
      </c>
      <c r="J394" s="3" t="s">
        <v>17</v>
      </c>
      <c r="K394" s="2" t="str">
        <f>J394*198.29</f>
        <v>0</v>
      </c>
      <c r="L394" s="5"/>
    </row>
    <row r="395" spans="1:12" customHeight="1" ht="105" outlineLevel="4">
      <c r="A395" s="1"/>
      <c r="B395" s="1">
        <v>930146</v>
      </c>
      <c r="C395" s="1" t="s">
        <v>1223</v>
      </c>
      <c r="D395" s="1" t="s">
        <v>1224</v>
      </c>
      <c r="E395" s="2" t="s">
        <v>1225</v>
      </c>
      <c r="F395" s="2" t="s">
        <v>1226</v>
      </c>
      <c r="G395" s="2" t="s">
        <v>16</v>
      </c>
      <c r="H395" s="2">
        <v>0</v>
      </c>
      <c r="I395" s="1">
        <v>0</v>
      </c>
      <c r="J395" s="3" t="s">
        <v>17</v>
      </c>
      <c r="K395" s="2" t="str">
        <f>J395*20.09</f>
        <v>0</v>
      </c>
      <c r="L395" s="5"/>
    </row>
    <row r="396" spans="1:12" customHeight="1" ht="105" outlineLevel="4">
      <c r="A396" s="1"/>
      <c r="B396" s="1">
        <v>930147</v>
      </c>
      <c r="C396" s="1" t="s">
        <v>1227</v>
      </c>
      <c r="D396" s="1"/>
      <c r="E396" s="2" t="s">
        <v>1228</v>
      </c>
      <c r="F396" s="2" t="s">
        <v>1229</v>
      </c>
      <c r="G396" s="2" t="s">
        <v>34</v>
      </c>
      <c r="H396" s="2">
        <v>0</v>
      </c>
      <c r="I396" s="1">
        <v>0</v>
      </c>
      <c r="J396" s="3" t="s">
        <v>17</v>
      </c>
      <c r="K396" s="2" t="str">
        <f>J396*24.62</f>
        <v>0</v>
      </c>
      <c r="L396" s="5"/>
    </row>
    <row r="397" spans="1:12" customHeight="1" ht="105" outlineLevel="4">
      <c r="A397" s="1"/>
      <c r="B397" s="1">
        <v>930148</v>
      </c>
      <c r="C397" s="1" t="s">
        <v>1230</v>
      </c>
      <c r="D397" s="1"/>
      <c r="E397" s="2" t="s">
        <v>1231</v>
      </c>
      <c r="F397" s="2" t="s">
        <v>1232</v>
      </c>
      <c r="G397" s="2" t="s">
        <v>69</v>
      </c>
      <c r="H397" s="2">
        <v>0</v>
      </c>
      <c r="I397" s="1">
        <v>0</v>
      </c>
      <c r="J397" s="3" t="s">
        <v>17</v>
      </c>
      <c r="K397" s="2" t="str">
        <f>J397*51.19</f>
        <v>0</v>
      </c>
      <c r="L397" s="5"/>
    </row>
    <row r="398" spans="1:12" customHeight="1" ht="105" outlineLevel="4">
      <c r="A398" s="1"/>
      <c r="B398" s="1">
        <v>930149</v>
      </c>
      <c r="C398" s="1" t="s">
        <v>1233</v>
      </c>
      <c r="D398" s="1"/>
      <c r="E398" s="2" t="s">
        <v>1234</v>
      </c>
      <c r="F398" s="2" t="s">
        <v>1235</v>
      </c>
      <c r="G398" s="2">
        <v>8</v>
      </c>
      <c r="H398" s="2">
        <v>0</v>
      </c>
      <c r="I398" s="1">
        <v>0</v>
      </c>
      <c r="J398" s="3" t="s">
        <v>17</v>
      </c>
      <c r="K398" s="2" t="str">
        <f>J398*138.35</f>
        <v>0</v>
      </c>
      <c r="L398" s="5"/>
    </row>
    <row r="399" spans="1:12" customHeight="1" ht="105" outlineLevel="4">
      <c r="A399" s="1"/>
      <c r="B399" s="1">
        <v>930150</v>
      </c>
      <c r="C399" s="1" t="s">
        <v>1236</v>
      </c>
      <c r="D399" s="1"/>
      <c r="E399" s="2" t="s">
        <v>1237</v>
      </c>
      <c r="F399" s="2" t="s">
        <v>1238</v>
      </c>
      <c r="G399" s="2">
        <v>8</v>
      </c>
      <c r="H399" s="2">
        <v>0</v>
      </c>
      <c r="I399" s="1">
        <v>0</v>
      </c>
      <c r="J399" s="3" t="s">
        <v>17</v>
      </c>
      <c r="K399" s="2" t="str">
        <f>J399*222.90</f>
        <v>0</v>
      </c>
      <c r="L399" s="5"/>
    </row>
    <row r="400" spans="1:12" customHeight="1" ht="105" outlineLevel="4">
      <c r="A400" s="1"/>
      <c r="B400" s="1">
        <v>930151</v>
      </c>
      <c r="C400" s="1" t="s">
        <v>1239</v>
      </c>
      <c r="D400" s="1"/>
      <c r="E400" s="2" t="s">
        <v>1240</v>
      </c>
      <c r="F400" s="2" t="s">
        <v>1241</v>
      </c>
      <c r="G400" s="2">
        <v>8</v>
      </c>
      <c r="H400" s="2">
        <v>0</v>
      </c>
      <c r="I400" s="1">
        <v>0</v>
      </c>
      <c r="J400" s="3" t="s">
        <v>17</v>
      </c>
      <c r="K400" s="2" t="str">
        <f>J400*420.28</f>
        <v>0</v>
      </c>
      <c r="L400" s="5"/>
    </row>
    <row r="401" spans="1:12" customHeight="1" ht="105" outlineLevel="4">
      <c r="A401" s="1"/>
      <c r="B401" s="1">
        <v>930152</v>
      </c>
      <c r="C401" s="1" t="s">
        <v>1242</v>
      </c>
      <c r="D401" s="1"/>
      <c r="E401" s="2" t="s">
        <v>1243</v>
      </c>
      <c r="F401" s="2" t="s">
        <v>1244</v>
      </c>
      <c r="G401" s="2">
        <v>0</v>
      </c>
      <c r="H401" s="2">
        <v>0</v>
      </c>
      <c r="I401" s="1">
        <v>0</v>
      </c>
      <c r="J401" s="3" t="s">
        <v>17</v>
      </c>
      <c r="K401" s="2" t="str">
        <f>J401*785.89</f>
        <v>0</v>
      </c>
      <c r="L401" s="5"/>
    </row>
    <row r="402" spans="1:12" customHeight="1" ht="105" outlineLevel="4">
      <c r="A402" s="1"/>
      <c r="B402" s="1">
        <v>930153</v>
      </c>
      <c r="C402" s="1" t="s">
        <v>1245</v>
      </c>
      <c r="D402" s="1"/>
      <c r="E402" s="2" t="s">
        <v>1246</v>
      </c>
      <c r="F402" s="2" t="s">
        <v>1247</v>
      </c>
      <c r="G402" s="2" t="s">
        <v>16</v>
      </c>
      <c r="H402" s="2">
        <v>0</v>
      </c>
      <c r="I402" s="1">
        <v>0</v>
      </c>
      <c r="J402" s="3" t="s">
        <v>17</v>
      </c>
      <c r="K402" s="2" t="str">
        <f>J402*1967.11</f>
        <v>0</v>
      </c>
      <c r="L402" s="5"/>
    </row>
    <row r="403" spans="1:12" customHeight="1" ht="105" outlineLevel="4">
      <c r="A403" s="1"/>
      <c r="B403" s="1">
        <v>930154</v>
      </c>
      <c r="C403" s="1" t="s">
        <v>1248</v>
      </c>
      <c r="D403" s="1"/>
      <c r="E403" s="2" t="s">
        <v>1249</v>
      </c>
      <c r="F403" s="2" t="s">
        <v>1250</v>
      </c>
      <c r="G403" s="2" t="s">
        <v>34</v>
      </c>
      <c r="H403" s="2">
        <v>0</v>
      </c>
      <c r="I403" s="1">
        <v>0</v>
      </c>
      <c r="J403" s="3" t="s">
        <v>17</v>
      </c>
      <c r="K403" s="2" t="str">
        <f>J403*2537.35</f>
        <v>0</v>
      </c>
      <c r="L403" s="5"/>
    </row>
    <row r="404" spans="1:12" customHeight="1" ht="105" outlineLevel="4">
      <c r="A404" s="1"/>
      <c r="B404" s="1">
        <v>930155</v>
      </c>
      <c r="C404" s="1" t="s">
        <v>1251</v>
      </c>
      <c r="D404" s="1"/>
      <c r="E404" s="2" t="s">
        <v>1252</v>
      </c>
      <c r="F404" s="2" t="s">
        <v>1253</v>
      </c>
      <c r="G404" s="2">
        <v>0</v>
      </c>
      <c r="H404" s="2">
        <v>0</v>
      </c>
      <c r="I404" s="1">
        <v>0</v>
      </c>
      <c r="J404" s="3" t="s">
        <v>17</v>
      </c>
      <c r="K404" s="2" t="str">
        <f>J404*3171.96</f>
        <v>0</v>
      </c>
      <c r="L404" s="5"/>
    </row>
    <row r="405" spans="1:12" customHeight="1" ht="105" outlineLevel="4">
      <c r="A405" s="1"/>
      <c r="B405" s="1">
        <v>930156</v>
      </c>
      <c r="C405" s="1" t="s">
        <v>1254</v>
      </c>
      <c r="D405" s="1"/>
      <c r="E405" s="2" t="s">
        <v>1255</v>
      </c>
      <c r="F405" s="2" t="s">
        <v>1256</v>
      </c>
      <c r="G405" s="2">
        <v>0</v>
      </c>
      <c r="H405" s="2">
        <v>0</v>
      </c>
      <c r="I405" s="1">
        <v>0</v>
      </c>
      <c r="J405" s="3" t="s">
        <v>17</v>
      </c>
      <c r="K405" s="2" t="str">
        <f>J405*4766.26</f>
        <v>0</v>
      </c>
      <c r="L405" s="5"/>
    </row>
    <row r="406" spans="1:12" customHeight="1" ht="105" outlineLevel="4">
      <c r="A406" s="1"/>
      <c r="B406" s="1">
        <v>930157</v>
      </c>
      <c r="C406" s="1" t="s">
        <v>1257</v>
      </c>
      <c r="D406" s="1"/>
      <c r="E406" s="2" t="s">
        <v>1258</v>
      </c>
      <c r="F406" s="2" t="s">
        <v>794</v>
      </c>
      <c r="G406" s="2">
        <v>0</v>
      </c>
      <c r="H406" s="2">
        <v>0</v>
      </c>
      <c r="I406" s="1">
        <v>0</v>
      </c>
      <c r="J406" s="3" t="s">
        <v>17</v>
      </c>
      <c r="K406" s="2" t="str">
        <f>J406*21.82</f>
        <v>0</v>
      </c>
      <c r="L406" s="5"/>
    </row>
    <row r="407" spans="1:12" customHeight="1" ht="105" outlineLevel="4">
      <c r="A407" s="1"/>
      <c r="B407" s="1">
        <v>930158</v>
      </c>
      <c r="C407" s="1" t="s">
        <v>1259</v>
      </c>
      <c r="D407" s="1"/>
      <c r="E407" s="2" t="s">
        <v>1260</v>
      </c>
      <c r="F407" s="2" t="s">
        <v>1091</v>
      </c>
      <c r="G407" s="2">
        <v>0</v>
      </c>
      <c r="H407" s="2">
        <v>0</v>
      </c>
      <c r="I407" s="1">
        <v>0</v>
      </c>
      <c r="J407" s="3" t="s">
        <v>17</v>
      </c>
      <c r="K407" s="2" t="str">
        <f>J407*39.96</f>
        <v>0</v>
      </c>
      <c r="L407" s="5"/>
    </row>
    <row r="408" spans="1:12" customHeight="1" ht="105" outlineLevel="4">
      <c r="A408" s="1"/>
      <c r="B408" s="1">
        <v>930159</v>
      </c>
      <c r="C408" s="1" t="s">
        <v>1261</v>
      </c>
      <c r="D408" s="1"/>
      <c r="E408" s="2" t="s">
        <v>1262</v>
      </c>
      <c r="F408" s="2" t="s">
        <v>1263</v>
      </c>
      <c r="G408" s="2" t="s">
        <v>82</v>
      </c>
      <c r="H408" s="2">
        <v>0</v>
      </c>
      <c r="I408" s="1">
        <v>0</v>
      </c>
      <c r="J408" s="3" t="s">
        <v>17</v>
      </c>
      <c r="K408" s="2" t="str">
        <f>J408*55.94</f>
        <v>0</v>
      </c>
      <c r="L408" s="5"/>
    </row>
    <row r="409" spans="1:12" customHeight="1" ht="105" outlineLevel="4">
      <c r="A409" s="1"/>
      <c r="B409" s="1">
        <v>930160</v>
      </c>
      <c r="C409" s="1" t="s">
        <v>1264</v>
      </c>
      <c r="D409" s="1"/>
      <c r="E409" s="2" t="s">
        <v>1265</v>
      </c>
      <c r="F409" s="2" t="s">
        <v>205</v>
      </c>
      <c r="G409" s="2">
        <v>0</v>
      </c>
      <c r="H409" s="2">
        <v>0</v>
      </c>
      <c r="I409" s="1">
        <v>0</v>
      </c>
      <c r="J409" s="3" t="s">
        <v>17</v>
      </c>
      <c r="K409" s="2" t="str">
        <f>J409*92.66</f>
        <v>0</v>
      </c>
      <c r="L409" s="5"/>
    </row>
    <row r="410" spans="1:12" customHeight="1" ht="105" outlineLevel="4">
      <c r="A410" s="1"/>
      <c r="B410" s="1">
        <v>930161</v>
      </c>
      <c r="C410" s="1" t="s">
        <v>1266</v>
      </c>
      <c r="D410" s="1"/>
      <c r="E410" s="2" t="s">
        <v>1267</v>
      </c>
      <c r="F410" s="2" t="s">
        <v>1268</v>
      </c>
      <c r="G410" s="2" t="s">
        <v>82</v>
      </c>
      <c r="H410" s="2">
        <v>0</v>
      </c>
      <c r="I410" s="1">
        <v>0</v>
      </c>
      <c r="J410" s="3" t="s">
        <v>17</v>
      </c>
      <c r="K410" s="2" t="str">
        <f>J410*171.50</f>
        <v>0</v>
      </c>
      <c r="L410" s="5"/>
    </row>
    <row r="411" spans="1:12" customHeight="1" ht="105" outlineLevel="4">
      <c r="A411" s="1"/>
      <c r="B411" s="1">
        <v>930162</v>
      </c>
      <c r="C411" s="1" t="s">
        <v>1269</v>
      </c>
      <c r="D411" s="1"/>
      <c r="E411" s="2" t="s">
        <v>1270</v>
      </c>
      <c r="F411" s="2" t="s">
        <v>1271</v>
      </c>
      <c r="G411" s="2">
        <v>9</v>
      </c>
      <c r="H411" s="2">
        <v>0</v>
      </c>
      <c r="I411" s="1">
        <v>0</v>
      </c>
      <c r="J411" s="3" t="s">
        <v>17</v>
      </c>
      <c r="K411" s="2" t="str">
        <f>J411*181.22</f>
        <v>0</v>
      </c>
      <c r="L411" s="5"/>
    </row>
    <row r="412" spans="1:12" customHeight="1" ht="105" outlineLevel="4">
      <c r="A412" s="1"/>
      <c r="B412" s="1">
        <v>930163</v>
      </c>
      <c r="C412" s="1" t="s">
        <v>1272</v>
      </c>
      <c r="D412" s="1"/>
      <c r="E412" s="2" t="s">
        <v>1273</v>
      </c>
      <c r="F412" s="2" t="s">
        <v>1274</v>
      </c>
      <c r="G412" s="2">
        <v>0</v>
      </c>
      <c r="H412" s="2">
        <v>0</v>
      </c>
      <c r="I412" s="1">
        <v>0</v>
      </c>
      <c r="J412" s="3" t="s">
        <v>17</v>
      </c>
      <c r="K412" s="2" t="str">
        <f>J412*592.70</f>
        <v>0</v>
      </c>
      <c r="L412" s="5"/>
    </row>
    <row r="413" spans="1:12" customHeight="1" ht="105" outlineLevel="4">
      <c r="A413" s="1"/>
      <c r="B413" s="1">
        <v>930164</v>
      </c>
      <c r="C413" s="1" t="s">
        <v>1275</v>
      </c>
      <c r="D413" s="1"/>
      <c r="E413" s="2" t="s">
        <v>1276</v>
      </c>
      <c r="F413" s="2" t="s">
        <v>1277</v>
      </c>
      <c r="G413" s="2">
        <v>0</v>
      </c>
      <c r="H413" s="2">
        <v>0</v>
      </c>
      <c r="I413" s="1">
        <v>0</v>
      </c>
      <c r="J413" s="3" t="s">
        <v>17</v>
      </c>
      <c r="K413" s="2" t="str">
        <f>J413*709.34</f>
        <v>0</v>
      </c>
      <c r="L413" s="5"/>
    </row>
    <row r="414" spans="1:12" customHeight="1" ht="105" outlineLevel="4">
      <c r="A414" s="1"/>
      <c r="B414" s="1">
        <v>930165</v>
      </c>
      <c r="C414" s="1" t="s">
        <v>1278</v>
      </c>
      <c r="D414" s="1"/>
      <c r="E414" s="2" t="s">
        <v>1279</v>
      </c>
      <c r="F414" s="2" t="s">
        <v>1280</v>
      </c>
      <c r="G414" s="2">
        <v>9</v>
      </c>
      <c r="H414" s="2">
        <v>0</v>
      </c>
      <c r="I414" s="1">
        <v>0</v>
      </c>
      <c r="J414" s="3" t="s">
        <v>17</v>
      </c>
      <c r="K414" s="2" t="str">
        <f>J414*253.37</f>
        <v>0</v>
      </c>
      <c r="L414" s="5"/>
    </row>
    <row r="415" spans="1:12" customHeight="1" ht="105" outlineLevel="4">
      <c r="A415" s="1"/>
      <c r="B415" s="1">
        <v>930166</v>
      </c>
      <c r="C415" s="1" t="s">
        <v>1281</v>
      </c>
      <c r="D415" s="1"/>
      <c r="E415" s="2" t="s">
        <v>1282</v>
      </c>
      <c r="F415" s="2" t="s">
        <v>1283</v>
      </c>
      <c r="G415" s="2">
        <v>10</v>
      </c>
      <c r="H415" s="2">
        <v>0</v>
      </c>
      <c r="I415" s="1">
        <v>0</v>
      </c>
      <c r="J415" s="3" t="s">
        <v>17</v>
      </c>
      <c r="K415" s="2" t="str">
        <f>J415*295.49</f>
        <v>0</v>
      </c>
      <c r="L415" s="5"/>
    </row>
    <row r="416" spans="1:12" customHeight="1" ht="105" outlineLevel="4">
      <c r="A416" s="1"/>
      <c r="B416" s="1">
        <v>930167</v>
      </c>
      <c r="C416" s="1" t="s">
        <v>1284</v>
      </c>
      <c r="D416" s="1"/>
      <c r="E416" s="2" t="s">
        <v>1285</v>
      </c>
      <c r="F416" s="2" t="s">
        <v>1286</v>
      </c>
      <c r="G416" s="2">
        <v>6</v>
      </c>
      <c r="H416" s="2">
        <v>0</v>
      </c>
      <c r="I416" s="1">
        <v>0</v>
      </c>
      <c r="J416" s="3" t="s">
        <v>17</v>
      </c>
      <c r="K416" s="2" t="str">
        <f>J416*338.47</f>
        <v>0</v>
      </c>
      <c r="L416" s="5"/>
    </row>
    <row r="417" spans="1:12" customHeight="1" ht="105" outlineLevel="4">
      <c r="A417" s="1"/>
      <c r="B417" s="1">
        <v>930168</v>
      </c>
      <c r="C417" s="1" t="s">
        <v>1287</v>
      </c>
      <c r="D417" s="1"/>
      <c r="E417" s="2" t="s">
        <v>1288</v>
      </c>
      <c r="F417" s="2" t="s">
        <v>1289</v>
      </c>
      <c r="G417" s="2">
        <v>4</v>
      </c>
      <c r="H417" s="2">
        <v>0</v>
      </c>
      <c r="I417" s="1">
        <v>0</v>
      </c>
      <c r="J417" s="3" t="s">
        <v>17</v>
      </c>
      <c r="K417" s="2" t="str">
        <f>J417*480.38</f>
        <v>0</v>
      </c>
      <c r="L417" s="5"/>
    </row>
    <row r="418" spans="1:12" customHeight="1" ht="105" outlineLevel="4">
      <c r="A418" s="1"/>
      <c r="B418" s="1">
        <v>930169</v>
      </c>
      <c r="C418" s="1" t="s">
        <v>1290</v>
      </c>
      <c r="D418" s="1"/>
      <c r="E418" s="2" t="s">
        <v>1291</v>
      </c>
      <c r="F418" s="2" t="s">
        <v>1292</v>
      </c>
      <c r="G418" s="2" t="s">
        <v>82</v>
      </c>
      <c r="H418" s="2">
        <v>0</v>
      </c>
      <c r="I418" s="1">
        <v>0</v>
      </c>
      <c r="J418" s="3" t="s">
        <v>17</v>
      </c>
      <c r="K418" s="2" t="str">
        <f>J418*457.27</f>
        <v>0</v>
      </c>
      <c r="L418" s="5"/>
    </row>
    <row r="419" spans="1:12" customHeight="1" ht="105" outlineLevel="4">
      <c r="A419" s="1"/>
      <c r="B419" s="1">
        <v>930170</v>
      </c>
      <c r="C419" s="1" t="s">
        <v>1293</v>
      </c>
      <c r="D419" s="1"/>
      <c r="E419" s="2" t="s">
        <v>1294</v>
      </c>
      <c r="F419" s="2" t="s">
        <v>1295</v>
      </c>
      <c r="G419" s="2">
        <v>6</v>
      </c>
      <c r="H419" s="2">
        <v>0</v>
      </c>
      <c r="I419" s="1">
        <v>0</v>
      </c>
      <c r="J419" s="3" t="s">
        <v>17</v>
      </c>
      <c r="K419" s="2" t="str">
        <f>J419*668.95</f>
        <v>0</v>
      </c>
      <c r="L419" s="5"/>
    </row>
    <row r="420" spans="1:12" customHeight="1" ht="105" outlineLevel="4">
      <c r="A420" s="1"/>
      <c r="B420" s="1">
        <v>930171</v>
      </c>
      <c r="C420" s="1" t="s">
        <v>1296</v>
      </c>
      <c r="D420" s="1"/>
      <c r="E420" s="2" t="s">
        <v>1297</v>
      </c>
      <c r="F420" s="2" t="s">
        <v>1298</v>
      </c>
      <c r="G420" s="2">
        <v>0</v>
      </c>
      <c r="H420" s="2">
        <v>0</v>
      </c>
      <c r="I420" s="1">
        <v>0</v>
      </c>
      <c r="J420" s="3" t="s">
        <v>17</v>
      </c>
      <c r="K420" s="2" t="str">
        <f>J420*22.68</f>
        <v>0</v>
      </c>
      <c r="L420" s="5"/>
    </row>
    <row r="421" spans="1:12" customHeight="1" ht="105" outlineLevel="4">
      <c r="A421" s="1"/>
      <c r="B421" s="1">
        <v>930172</v>
      </c>
      <c r="C421" s="1" t="s">
        <v>1299</v>
      </c>
      <c r="D421" s="1"/>
      <c r="E421" s="2" t="s">
        <v>1300</v>
      </c>
      <c r="F421" s="2" t="s">
        <v>1301</v>
      </c>
      <c r="G421" s="2">
        <v>0</v>
      </c>
      <c r="H421" s="2">
        <v>0</v>
      </c>
      <c r="I421" s="1">
        <v>0</v>
      </c>
      <c r="J421" s="3" t="s">
        <v>17</v>
      </c>
      <c r="K421" s="2" t="str">
        <f>J421*20.95</f>
        <v>0</v>
      </c>
      <c r="L421" s="5"/>
    </row>
    <row r="422" spans="1:12" customHeight="1" ht="105" outlineLevel="4">
      <c r="A422" s="1"/>
      <c r="B422" s="1">
        <v>930173</v>
      </c>
      <c r="C422" s="1" t="s">
        <v>1302</v>
      </c>
      <c r="D422" s="1"/>
      <c r="E422" s="2" t="s">
        <v>1303</v>
      </c>
      <c r="F422" s="2" t="s">
        <v>63</v>
      </c>
      <c r="G422" s="2">
        <v>3</v>
      </c>
      <c r="H422" s="2">
        <v>0</v>
      </c>
      <c r="I422" s="1">
        <v>0</v>
      </c>
      <c r="J422" s="3" t="s">
        <v>17</v>
      </c>
      <c r="K422" s="2" t="str">
        <f>J422*23.98</f>
        <v>0</v>
      </c>
      <c r="L422" s="5"/>
    </row>
    <row r="423" spans="1:12" customHeight="1" ht="105" outlineLevel="4">
      <c r="A423" s="1"/>
      <c r="B423" s="1">
        <v>930174</v>
      </c>
      <c r="C423" s="1" t="s">
        <v>1304</v>
      </c>
      <c r="D423" s="1"/>
      <c r="E423" s="2" t="s">
        <v>1305</v>
      </c>
      <c r="F423" s="2" t="s">
        <v>1306</v>
      </c>
      <c r="G423" s="2">
        <v>3</v>
      </c>
      <c r="H423" s="2">
        <v>0</v>
      </c>
      <c r="I423" s="1">
        <v>0</v>
      </c>
      <c r="J423" s="3" t="s">
        <v>17</v>
      </c>
      <c r="K423" s="2" t="str">
        <f>J423*27.43</f>
        <v>0</v>
      </c>
      <c r="L423" s="5"/>
    </row>
    <row r="424" spans="1:12" customHeight="1" ht="105" outlineLevel="4">
      <c r="A424" s="1"/>
      <c r="B424" s="1">
        <v>930175</v>
      </c>
      <c r="C424" s="1" t="s">
        <v>1307</v>
      </c>
      <c r="D424" s="1"/>
      <c r="E424" s="2" t="s">
        <v>1308</v>
      </c>
      <c r="F424" s="2" t="s">
        <v>1306</v>
      </c>
      <c r="G424" s="2">
        <v>0</v>
      </c>
      <c r="H424" s="2">
        <v>0</v>
      </c>
      <c r="I424" s="1">
        <v>0</v>
      </c>
      <c r="J424" s="3" t="s">
        <v>17</v>
      </c>
      <c r="K424" s="2" t="str">
        <f>J424*27.43</f>
        <v>0</v>
      </c>
      <c r="L424" s="5"/>
    </row>
    <row r="425" spans="1:12" customHeight="1" ht="105" outlineLevel="4">
      <c r="A425" s="1"/>
      <c r="B425" s="1">
        <v>930176</v>
      </c>
      <c r="C425" s="1" t="s">
        <v>1309</v>
      </c>
      <c r="D425" s="1"/>
      <c r="E425" s="2" t="s">
        <v>1310</v>
      </c>
      <c r="F425" s="2" t="s">
        <v>1311</v>
      </c>
      <c r="G425" s="2">
        <v>1</v>
      </c>
      <c r="H425" s="2">
        <v>0</v>
      </c>
      <c r="I425" s="1">
        <v>0</v>
      </c>
      <c r="J425" s="3" t="s">
        <v>17</v>
      </c>
      <c r="K425" s="2" t="str">
        <f>J425*5021.85</f>
        <v>0</v>
      </c>
      <c r="L425" s="5"/>
    </row>
    <row r="426" spans="1:12" customHeight="1" ht="105" outlineLevel="4">
      <c r="A426" s="1"/>
      <c r="B426" s="1">
        <v>930177</v>
      </c>
      <c r="C426" s="1" t="s">
        <v>1312</v>
      </c>
      <c r="D426" s="1"/>
      <c r="E426" s="2" t="s">
        <v>1313</v>
      </c>
      <c r="F426" s="2" t="s">
        <v>1314</v>
      </c>
      <c r="G426" s="2">
        <v>0</v>
      </c>
      <c r="H426" s="2">
        <v>0</v>
      </c>
      <c r="I426" s="1">
        <v>0</v>
      </c>
      <c r="J426" s="3" t="s">
        <v>17</v>
      </c>
      <c r="K426" s="2" t="str">
        <f>J426*5908.38</f>
        <v>0</v>
      </c>
      <c r="L426" s="5"/>
    </row>
    <row r="427" spans="1:12" customHeight="1" ht="105" outlineLevel="4">
      <c r="A427" s="1"/>
      <c r="B427" s="1">
        <v>930178</v>
      </c>
      <c r="C427" s="1" t="s">
        <v>1315</v>
      </c>
      <c r="D427" s="1"/>
      <c r="E427" s="2" t="s">
        <v>1316</v>
      </c>
      <c r="F427" s="2" t="s">
        <v>1317</v>
      </c>
      <c r="G427" s="2">
        <v>0</v>
      </c>
      <c r="H427" s="2">
        <v>0</v>
      </c>
      <c r="I427" s="1">
        <v>0</v>
      </c>
      <c r="J427" s="3" t="s">
        <v>17</v>
      </c>
      <c r="K427" s="2" t="str">
        <f>J427*6705.72</f>
        <v>0</v>
      </c>
      <c r="L427" s="5"/>
    </row>
    <row r="428" spans="1:12" customHeight="1" ht="105" outlineLevel="4">
      <c r="A428" s="1"/>
      <c r="B428" s="1">
        <v>930179</v>
      </c>
      <c r="C428" s="1" t="s">
        <v>1318</v>
      </c>
      <c r="D428" s="1"/>
      <c r="E428" s="2" t="s">
        <v>1319</v>
      </c>
      <c r="F428" s="2" t="s">
        <v>1320</v>
      </c>
      <c r="G428" s="2">
        <v>0</v>
      </c>
      <c r="H428" s="2">
        <v>0</v>
      </c>
      <c r="I428" s="1">
        <v>0</v>
      </c>
      <c r="J428" s="3" t="s">
        <v>17</v>
      </c>
      <c r="K428" s="2" t="str">
        <f>J428*5133.36</f>
        <v>0</v>
      </c>
      <c r="L428" s="5"/>
    </row>
    <row r="429" spans="1:12" customHeight="1" ht="105" outlineLevel="4">
      <c r="A429" s="1"/>
      <c r="B429" s="1">
        <v>930180</v>
      </c>
      <c r="C429" s="1" t="s">
        <v>1321</v>
      </c>
      <c r="D429" s="1"/>
      <c r="E429" s="2" t="s">
        <v>1322</v>
      </c>
      <c r="F429" s="2" t="s">
        <v>1323</v>
      </c>
      <c r="G429" s="2">
        <v>0</v>
      </c>
      <c r="H429" s="2">
        <v>0</v>
      </c>
      <c r="I429" s="1">
        <v>0</v>
      </c>
      <c r="J429" s="3" t="s">
        <v>17</v>
      </c>
      <c r="K429" s="2" t="str">
        <f>J429*5988.31</f>
        <v>0</v>
      </c>
      <c r="L429" s="5"/>
    </row>
    <row r="430" spans="1:12" customHeight="1" ht="105" outlineLevel="4">
      <c r="A430" s="1"/>
      <c r="B430" s="1">
        <v>930181</v>
      </c>
      <c r="C430" s="1" t="s">
        <v>1324</v>
      </c>
      <c r="D430" s="1"/>
      <c r="E430" s="2" t="s">
        <v>1325</v>
      </c>
      <c r="F430" s="2" t="s">
        <v>1326</v>
      </c>
      <c r="G430" s="2">
        <v>0</v>
      </c>
      <c r="H430" s="2">
        <v>0</v>
      </c>
      <c r="I430" s="1">
        <v>0</v>
      </c>
      <c r="J430" s="3" t="s">
        <v>17</v>
      </c>
      <c r="K430" s="2" t="str">
        <f>J430*6826.52</f>
        <v>0</v>
      </c>
      <c r="L430" s="5"/>
    </row>
    <row r="431" spans="1:12" customHeight="1" ht="105" outlineLevel="4">
      <c r="A431" s="1"/>
      <c r="B431" s="1">
        <v>930182</v>
      </c>
      <c r="C431" s="1" t="s">
        <v>1327</v>
      </c>
      <c r="D431" s="1"/>
      <c r="E431" s="2" t="s">
        <v>1328</v>
      </c>
      <c r="F431" s="2" t="s">
        <v>1329</v>
      </c>
      <c r="G431" s="2">
        <v>0</v>
      </c>
      <c r="H431" s="2">
        <v>0</v>
      </c>
      <c r="I431" s="1">
        <v>0</v>
      </c>
      <c r="J431" s="3" t="s">
        <v>17</v>
      </c>
      <c r="K431" s="2" t="str">
        <f>J431*5492.07</f>
        <v>0</v>
      </c>
      <c r="L431" s="5"/>
    </row>
    <row r="432" spans="1:12" customHeight="1" ht="105" outlineLevel="4">
      <c r="A432" s="1"/>
      <c r="B432" s="1">
        <v>930183</v>
      </c>
      <c r="C432" s="1" t="s">
        <v>1330</v>
      </c>
      <c r="D432" s="1"/>
      <c r="E432" s="2" t="s">
        <v>1331</v>
      </c>
      <c r="F432" s="2" t="s">
        <v>1332</v>
      </c>
      <c r="G432" s="2">
        <v>0</v>
      </c>
      <c r="H432" s="2">
        <v>0</v>
      </c>
      <c r="I432" s="1">
        <v>0</v>
      </c>
      <c r="J432" s="3" t="s">
        <v>17</v>
      </c>
      <c r="K432" s="2" t="str">
        <f>J432*6438.07</f>
        <v>0</v>
      </c>
      <c r="L432" s="5"/>
    </row>
    <row r="433" spans="1:12" customHeight="1" ht="105" outlineLevel="4">
      <c r="A433" s="1"/>
      <c r="B433" s="1">
        <v>930184</v>
      </c>
      <c r="C433" s="1" t="s">
        <v>1333</v>
      </c>
      <c r="D433" s="1"/>
      <c r="E433" s="2" t="s">
        <v>1334</v>
      </c>
      <c r="F433" s="2" t="s">
        <v>1335</v>
      </c>
      <c r="G433" s="2">
        <v>0</v>
      </c>
      <c r="H433" s="2">
        <v>0</v>
      </c>
      <c r="I433" s="1">
        <v>0</v>
      </c>
      <c r="J433" s="3" t="s">
        <v>17</v>
      </c>
      <c r="K433" s="2" t="str">
        <f>J433*7276.29</f>
        <v>0</v>
      </c>
      <c r="L433" s="5"/>
    </row>
    <row r="434" spans="1:12" customHeight="1" ht="105" outlineLevel="4">
      <c r="A434" s="1"/>
      <c r="B434" s="1">
        <v>930185</v>
      </c>
      <c r="C434" s="1" t="s">
        <v>1336</v>
      </c>
      <c r="D434" s="1"/>
      <c r="E434" s="2" t="s">
        <v>1337</v>
      </c>
      <c r="F434" s="2" t="s">
        <v>1338</v>
      </c>
      <c r="G434" s="2">
        <v>0</v>
      </c>
      <c r="H434" s="2">
        <v>0</v>
      </c>
      <c r="I434" s="1">
        <v>0</v>
      </c>
      <c r="J434" s="3" t="s">
        <v>17</v>
      </c>
      <c r="K434" s="2" t="str">
        <f>J434*545.62</f>
        <v>0</v>
      </c>
      <c r="L434" s="5"/>
    </row>
    <row r="435" spans="1:12" customHeight="1" ht="105" outlineLevel="4">
      <c r="A435" s="1"/>
      <c r="B435" s="1">
        <v>930186</v>
      </c>
      <c r="C435" s="1" t="s">
        <v>1339</v>
      </c>
      <c r="D435" s="1"/>
      <c r="E435" s="2" t="s">
        <v>1340</v>
      </c>
      <c r="F435" s="2" t="s">
        <v>1341</v>
      </c>
      <c r="G435" s="2">
        <v>0</v>
      </c>
      <c r="H435" s="2">
        <v>0</v>
      </c>
      <c r="I435" s="1">
        <v>0</v>
      </c>
      <c r="J435" s="3" t="s">
        <v>17</v>
      </c>
      <c r="K435" s="2" t="str">
        <f>J435*535.03</f>
        <v>0</v>
      </c>
      <c r="L435" s="5"/>
    </row>
    <row r="436" spans="1:12" customHeight="1" ht="105" outlineLevel="4">
      <c r="A436" s="1"/>
      <c r="B436" s="1">
        <v>930187</v>
      </c>
      <c r="C436" s="1" t="s">
        <v>1342</v>
      </c>
      <c r="D436" s="1"/>
      <c r="E436" s="2" t="s">
        <v>1343</v>
      </c>
      <c r="F436" s="2" t="s">
        <v>1344</v>
      </c>
      <c r="G436" s="2">
        <v>0</v>
      </c>
      <c r="H436" s="2">
        <v>0</v>
      </c>
      <c r="I436" s="1">
        <v>0</v>
      </c>
      <c r="J436" s="3" t="s">
        <v>17</v>
      </c>
      <c r="K436" s="2" t="str">
        <f>J436*711.29</f>
        <v>0</v>
      </c>
      <c r="L436" s="5"/>
    </row>
    <row r="437" spans="1:12" customHeight="1" ht="105" outlineLevel="4">
      <c r="A437" s="1"/>
      <c r="B437" s="1">
        <v>930188</v>
      </c>
      <c r="C437" s="1" t="s">
        <v>1345</v>
      </c>
      <c r="D437" s="1"/>
      <c r="E437" s="2" t="s">
        <v>1346</v>
      </c>
      <c r="F437" s="2" t="s">
        <v>1347</v>
      </c>
      <c r="G437" s="2">
        <v>0</v>
      </c>
      <c r="H437" s="2">
        <v>0</v>
      </c>
      <c r="I437" s="1">
        <v>0</v>
      </c>
      <c r="J437" s="3" t="s">
        <v>17</v>
      </c>
      <c r="K437" s="2" t="str">
        <f>J437*734.62</f>
        <v>0</v>
      </c>
      <c r="L437" s="5"/>
    </row>
    <row r="438" spans="1:12" customHeight="1" ht="105" outlineLevel="4">
      <c r="A438" s="1"/>
      <c r="B438" s="1">
        <v>930189</v>
      </c>
      <c r="C438" s="1" t="s">
        <v>1348</v>
      </c>
      <c r="D438" s="1"/>
      <c r="E438" s="2" t="s">
        <v>1349</v>
      </c>
      <c r="F438" s="2" t="s">
        <v>488</v>
      </c>
      <c r="G438" s="2">
        <v>0</v>
      </c>
      <c r="H438" s="2">
        <v>0</v>
      </c>
      <c r="I438" s="1">
        <v>0</v>
      </c>
      <c r="J438" s="3" t="s">
        <v>17</v>
      </c>
      <c r="K438" s="2" t="str">
        <f>J438*452.88</f>
        <v>0</v>
      </c>
      <c r="L438" s="5"/>
    </row>
    <row r="439" spans="1:12" customHeight="1" ht="105" outlineLevel="4">
      <c r="A439" s="1"/>
      <c r="B439" s="1">
        <v>930190</v>
      </c>
      <c r="C439" s="1" t="s">
        <v>1350</v>
      </c>
      <c r="D439" s="1"/>
      <c r="E439" s="2" t="s">
        <v>1351</v>
      </c>
      <c r="F439" s="2" t="s">
        <v>1352</v>
      </c>
      <c r="G439" s="2">
        <v>0</v>
      </c>
      <c r="H439" s="2">
        <v>0</v>
      </c>
      <c r="I439" s="1">
        <v>0</v>
      </c>
      <c r="J439" s="3" t="s">
        <v>17</v>
      </c>
      <c r="K439" s="2" t="str">
        <f>J439*460.53</f>
        <v>0</v>
      </c>
      <c r="L439" s="5"/>
    </row>
    <row r="440" spans="1:12" customHeight="1" ht="105" outlineLevel="4">
      <c r="A440" s="1"/>
      <c r="B440" s="1">
        <v>930191</v>
      </c>
      <c r="C440" s="1" t="s">
        <v>1353</v>
      </c>
      <c r="D440" s="1"/>
      <c r="E440" s="2" t="s">
        <v>1354</v>
      </c>
      <c r="F440" s="2" t="s">
        <v>1355</v>
      </c>
      <c r="G440" s="2">
        <v>0</v>
      </c>
      <c r="H440" s="2">
        <v>0</v>
      </c>
      <c r="I440" s="1">
        <v>0</v>
      </c>
      <c r="J440" s="3" t="s">
        <v>17</v>
      </c>
      <c r="K440" s="2" t="str">
        <f>J440*841.50</f>
        <v>0</v>
      </c>
      <c r="L440" s="5"/>
    </row>
    <row r="441" spans="1:12" customHeight="1" ht="105" outlineLevel="4">
      <c r="A441" s="1"/>
      <c r="B441" s="1">
        <v>930192</v>
      </c>
      <c r="C441" s="1" t="s">
        <v>1356</v>
      </c>
      <c r="D441" s="1"/>
      <c r="E441" s="2" t="s">
        <v>1357</v>
      </c>
      <c r="F441" s="2" t="s">
        <v>1355</v>
      </c>
      <c r="G441" s="2">
        <v>0</v>
      </c>
      <c r="H441" s="2">
        <v>0</v>
      </c>
      <c r="I441" s="1">
        <v>0</v>
      </c>
      <c r="J441" s="3" t="s">
        <v>17</v>
      </c>
      <c r="K441" s="2" t="str">
        <f>J441*841.50</f>
        <v>0</v>
      </c>
      <c r="L441" s="5"/>
    </row>
    <row r="442" spans="1:12" customHeight="1" ht="105" outlineLevel="4">
      <c r="A442" s="1"/>
      <c r="B442" s="1">
        <v>930193</v>
      </c>
      <c r="C442" s="1" t="s">
        <v>1358</v>
      </c>
      <c r="D442" s="1"/>
      <c r="E442" s="2" t="s">
        <v>1359</v>
      </c>
      <c r="F442" s="2" t="s">
        <v>1360</v>
      </c>
      <c r="G442" s="2">
        <v>0</v>
      </c>
      <c r="H442" s="2">
        <v>0</v>
      </c>
      <c r="I442" s="1">
        <v>0</v>
      </c>
      <c r="J442" s="3" t="s">
        <v>17</v>
      </c>
      <c r="K442" s="2" t="str">
        <f>J442*1141.38</f>
        <v>0</v>
      </c>
      <c r="L442" s="5"/>
    </row>
    <row r="443" spans="1:12" customHeight="1" ht="105" outlineLevel="4">
      <c r="A443" s="1"/>
      <c r="B443" s="1">
        <v>930194</v>
      </c>
      <c r="C443" s="1" t="s">
        <v>1361</v>
      </c>
      <c r="D443" s="1"/>
      <c r="E443" s="2" t="s">
        <v>1362</v>
      </c>
      <c r="F443" s="2" t="s">
        <v>1363</v>
      </c>
      <c r="G443" s="2" t="s">
        <v>82</v>
      </c>
      <c r="H443" s="2">
        <v>0</v>
      </c>
      <c r="I443" s="1">
        <v>0</v>
      </c>
      <c r="J443" s="3" t="s">
        <v>17</v>
      </c>
      <c r="K443" s="2" t="str">
        <f>J443*365.69</f>
        <v>0</v>
      </c>
      <c r="L443" s="5"/>
    </row>
    <row r="444" spans="1:12" customHeight="1" ht="105" outlineLevel="4">
      <c r="A444" s="1"/>
      <c r="B444" s="1">
        <v>930195</v>
      </c>
      <c r="C444" s="1" t="s">
        <v>1364</v>
      </c>
      <c r="D444" s="1"/>
      <c r="E444" s="2" t="s">
        <v>1365</v>
      </c>
      <c r="F444" s="2" t="s">
        <v>1366</v>
      </c>
      <c r="G444" s="2">
        <v>10</v>
      </c>
      <c r="H444" s="2">
        <v>0</v>
      </c>
      <c r="I444" s="1">
        <v>0</v>
      </c>
      <c r="J444" s="3" t="s">
        <v>17</v>
      </c>
      <c r="K444" s="2" t="str">
        <f>J444*530.06</f>
        <v>0</v>
      </c>
      <c r="L444" s="5"/>
    </row>
    <row r="445" spans="1:12" customHeight="1" ht="105" outlineLevel="4">
      <c r="A445" s="1"/>
      <c r="B445" s="1">
        <v>930196</v>
      </c>
      <c r="C445" s="1" t="s">
        <v>1367</v>
      </c>
      <c r="D445" s="1"/>
      <c r="E445" s="2" t="s">
        <v>1368</v>
      </c>
      <c r="F445" s="2" t="s">
        <v>1369</v>
      </c>
      <c r="G445" s="2" t="s">
        <v>82</v>
      </c>
      <c r="H445" s="2">
        <v>0</v>
      </c>
      <c r="I445" s="1">
        <v>0</v>
      </c>
      <c r="J445" s="3" t="s">
        <v>17</v>
      </c>
      <c r="K445" s="2" t="str">
        <f>J445*685.37</f>
        <v>0</v>
      </c>
      <c r="L445" s="5"/>
    </row>
    <row r="446" spans="1:12" customHeight="1" ht="105" outlineLevel="4">
      <c r="A446" s="1"/>
      <c r="B446" s="1">
        <v>930197</v>
      </c>
      <c r="C446" s="1" t="s">
        <v>1370</v>
      </c>
      <c r="D446" s="1"/>
      <c r="E446" s="2" t="s">
        <v>1371</v>
      </c>
      <c r="F446" s="2" t="s">
        <v>1372</v>
      </c>
      <c r="G446" s="2" t="s">
        <v>82</v>
      </c>
      <c r="H446" s="2">
        <v>0</v>
      </c>
      <c r="I446" s="1">
        <v>0</v>
      </c>
      <c r="J446" s="3" t="s">
        <v>17</v>
      </c>
      <c r="K446" s="2" t="str">
        <f>J446*582.55</f>
        <v>0</v>
      </c>
      <c r="L446" s="5"/>
    </row>
    <row r="447" spans="1:12" customHeight="1" ht="105" outlineLevel="4">
      <c r="A447" s="1"/>
      <c r="B447" s="1">
        <v>930198</v>
      </c>
      <c r="C447" s="1" t="s">
        <v>1373</v>
      </c>
      <c r="D447" s="1"/>
      <c r="E447" s="2" t="s">
        <v>1374</v>
      </c>
      <c r="F447" s="2" t="s">
        <v>1375</v>
      </c>
      <c r="G447" s="2" t="s">
        <v>82</v>
      </c>
      <c r="H447" s="2">
        <v>0</v>
      </c>
      <c r="I447" s="1">
        <v>0</v>
      </c>
      <c r="J447" s="3" t="s">
        <v>17</v>
      </c>
      <c r="K447" s="2" t="str">
        <f>J447*746.06</f>
        <v>0</v>
      </c>
      <c r="L447" s="5"/>
    </row>
    <row r="448" spans="1:12" customHeight="1" ht="105" outlineLevel="4">
      <c r="A448" s="1"/>
      <c r="B448" s="1">
        <v>930199</v>
      </c>
      <c r="C448" s="1" t="s">
        <v>1376</v>
      </c>
      <c r="D448" s="1"/>
      <c r="E448" s="2" t="s">
        <v>1377</v>
      </c>
      <c r="F448" s="2" t="s">
        <v>1378</v>
      </c>
      <c r="G448" s="2" t="s">
        <v>82</v>
      </c>
      <c r="H448" s="2">
        <v>0</v>
      </c>
      <c r="I448" s="1">
        <v>0</v>
      </c>
      <c r="J448" s="3" t="s">
        <v>17</v>
      </c>
      <c r="K448" s="2" t="str">
        <f>J448*917.57</f>
        <v>0</v>
      </c>
      <c r="L448" s="5"/>
    </row>
    <row r="449" spans="1:12" customHeight="1" ht="105" outlineLevel="4">
      <c r="A449" s="1"/>
      <c r="B449" s="1">
        <v>930200</v>
      </c>
      <c r="C449" s="1" t="s">
        <v>1379</v>
      </c>
      <c r="D449" s="1"/>
      <c r="E449" s="2" t="s">
        <v>1380</v>
      </c>
      <c r="F449" s="2" t="s">
        <v>1381</v>
      </c>
      <c r="G449" s="2">
        <v>0</v>
      </c>
      <c r="H449" s="2">
        <v>0</v>
      </c>
      <c r="I449" s="1">
        <v>0</v>
      </c>
      <c r="J449" s="3" t="s">
        <v>17</v>
      </c>
      <c r="K449" s="2" t="str">
        <f>J449*436.75</f>
        <v>0</v>
      </c>
      <c r="L449" s="5"/>
    </row>
    <row r="450" spans="1:12" customHeight="1" ht="105" outlineLevel="4">
      <c r="A450" s="1"/>
      <c r="B450" s="1">
        <v>930201</v>
      </c>
      <c r="C450" s="1" t="s">
        <v>1382</v>
      </c>
      <c r="D450" s="1"/>
      <c r="E450" s="2" t="s">
        <v>1383</v>
      </c>
      <c r="F450" s="2" t="s">
        <v>1384</v>
      </c>
      <c r="G450" s="2">
        <v>0</v>
      </c>
      <c r="H450" s="2">
        <v>0</v>
      </c>
      <c r="I450" s="1">
        <v>0</v>
      </c>
      <c r="J450" s="3" t="s">
        <v>17</v>
      </c>
      <c r="K450" s="2" t="str">
        <f>J450*683.42</f>
        <v>0</v>
      </c>
      <c r="L450" s="5"/>
    </row>
    <row r="451" spans="1:12" customHeight="1" ht="105" outlineLevel="4">
      <c r="A451" s="1"/>
      <c r="B451" s="1">
        <v>930202</v>
      </c>
      <c r="C451" s="1" t="s">
        <v>1385</v>
      </c>
      <c r="D451" s="1"/>
      <c r="E451" s="2" t="s">
        <v>1386</v>
      </c>
      <c r="F451" s="2" t="s">
        <v>1387</v>
      </c>
      <c r="G451" s="2">
        <v>0</v>
      </c>
      <c r="H451" s="2">
        <v>0</v>
      </c>
      <c r="I451" s="1">
        <v>0</v>
      </c>
      <c r="J451" s="3" t="s">
        <v>17</v>
      </c>
      <c r="K451" s="2" t="str">
        <f>J451*1240.49</f>
        <v>0</v>
      </c>
      <c r="L451" s="5"/>
    </row>
    <row r="452" spans="1:12" customHeight="1" ht="105" outlineLevel="4">
      <c r="A452" s="1"/>
      <c r="B452" s="1">
        <v>930203</v>
      </c>
      <c r="C452" s="1" t="s">
        <v>1388</v>
      </c>
      <c r="D452" s="1"/>
      <c r="E452" s="2" t="s">
        <v>1389</v>
      </c>
      <c r="F452" s="2" t="s">
        <v>1387</v>
      </c>
      <c r="G452" s="2">
        <v>0</v>
      </c>
      <c r="H452" s="2">
        <v>0</v>
      </c>
      <c r="I452" s="1">
        <v>0</v>
      </c>
      <c r="J452" s="3" t="s">
        <v>17</v>
      </c>
      <c r="K452" s="2" t="str">
        <f>J452*1240.49</f>
        <v>0</v>
      </c>
      <c r="L452" s="5"/>
    </row>
    <row r="453" spans="1:12" customHeight="1" ht="105" outlineLevel="4">
      <c r="A453" s="1"/>
      <c r="B453" s="1">
        <v>930204</v>
      </c>
      <c r="C453" s="1" t="s">
        <v>1390</v>
      </c>
      <c r="D453" s="1"/>
      <c r="E453" s="2" t="s">
        <v>1391</v>
      </c>
      <c r="F453" s="2" t="s">
        <v>1392</v>
      </c>
      <c r="G453" s="2" t="s">
        <v>69</v>
      </c>
      <c r="H453" s="2">
        <v>0</v>
      </c>
      <c r="I453" s="1">
        <v>0</v>
      </c>
      <c r="J453" s="3" t="s">
        <v>17</v>
      </c>
      <c r="K453" s="2" t="str">
        <f>J453*12.96</f>
        <v>0</v>
      </c>
      <c r="L453" s="5"/>
    </row>
    <row r="454" spans="1:12" customHeight="1" ht="105" outlineLevel="4">
      <c r="A454" s="1"/>
      <c r="B454" s="1">
        <v>930205</v>
      </c>
      <c r="C454" s="1" t="s">
        <v>1393</v>
      </c>
      <c r="D454" s="1"/>
      <c r="E454" s="2" t="s">
        <v>1394</v>
      </c>
      <c r="F454" s="2" t="s">
        <v>1395</v>
      </c>
      <c r="G454" s="2" t="s">
        <v>69</v>
      </c>
      <c r="H454" s="2">
        <v>0</v>
      </c>
      <c r="I454" s="1">
        <v>0</v>
      </c>
      <c r="J454" s="3" t="s">
        <v>17</v>
      </c>
      <c r="K454" s="2" t="str">
        <f>J454*19.87</f>
        <v>0</v>
      </c>
      <c r="L454" s="5"/>
    </row>
    <row r="455" spans="1:12" customHeight="1" ht="105" outlineLevel="4">
      <c r="A455" s="1"/>
      <c r="B455" s="1">
        <v>930206</v>
      </c>
      <c r="C455" s="1" t="s">
        <v>1396</v>
      </c>
      <c r="D455" s="1"/>
      <c r="E455" s="2" t="s">
        <v>1397</v>
      </c>
      <c r="F455" s="2" t="s">
        <v>1398</v>
      </c>
      <c r="G455" s="2">
        <v>0</v>
      </c>
      <c r="H455" s="2">
        <v>0</v>
      </c>
      <c r="I455" s="1">
        <v>0</v>
      </c>
      <c r="J455" s="3" t="s">
        <v>17</v>
      </c>
      <c r="K455" s="2" t="str">
        <f>J455*38.88</f>
        <v>0</v>
      </c>
      <c r="L455" s="5"/>
    </row>
    <row r="456" spans="1:12" customHeight="1" ht="105" outlineLevel="4">
      <c r="A456" s="1"/>
      <c r="B456" s="1">
        <v>930207</v>
      </c>
      <c r="C456" s="1" t="s">
        <v>1399</v>
      </c>
      <c r="D456" s="1"/>
      <c r="E456" s="2" t="s">
        <v>1400</v>
      </c>
      <c r="F456" s="2" t="s">
        <v>1401</v>
      </c>
      <c r="G456" s="2" t="s">
        <v>34</v>
      </c>
      <c r="H456" s="2">
        <v>0</v>
      </c>
      <c r="I456" s="1">
        <v>0</v>
      </c>
      <c r="J456" s="3" t="s">
        <v>17</v>
      </c>
      <c r="K456" s="2" t="str">
        <f>J456*144.94</f>
        <v>0</v>
      </c>
      <c r="L456" s="5"/>
    </row>
    <row r="457" spans="1:12" customHeight="1" ht="105" outlineLevel="4">
      <c r="A457" s="1"/>
      <c r="B457" s="1">
        <v>930208</v>
      </c>
      <c r="C457" s="1" t="s">
        <v>1402</v>
      </c>
      <c r="D457" s="1"/>
      <c r="E457" s="2" t="s">
        <v>1403</v>
      </c>
      <c r="F457" s="2" t="s">
        <v>37</v>
      </c>
      <c r="G457" s="2" t="s">
        <v>82</v>
      </c>
      <c r="H457" s="2">
        <v>0</v>
      </c>
      <c r="I457" s="1">
        <v>0</v>
      </c>
      <c r="J457" s="3" t="s">
        <v>17</v>
      </c>
      <c r="K457" s="2" t="str">
        <f>J457*160.06</f>
        <v>0</v>
      </c>
      <c r="L457" s="5"/>
    </row>
    <row r="458" spans="1:12" customHeight="1" ht="105" outlineLevel="4">
      <c r="A458" s="1"/>
      <c r="B458" s="1">
        <v>930209</v>
      </c>
      <c r="C458" s="1" t="s">
        <v>1404</v>
      </c>
      <c r="D458" s="1"/>
      <c r="E458" s="2" t="s">
        <v>1405</v>
      </c>
      <c r="F458" s="2" t="s">
        <v>1406</v>
      </c>
      <c r="G458" s="2" t="s">
        <v>69</v>
      </c>
      <c r="H458" s="2">
        <v>0</v>
      </c>
      <c r="I458" s="1">
        <v>0</v>
      </c>
      <c r="J458" s="3" t="s">
        <v>17</v>
      </c>
      <c r="K458" s="2" t="str">
        <f>J458*206.93</f>
        <v>0</v>
      </c>
      <c r="L458" s="5"/>
    </row>
    <row r="459" spans="1:12" customHeight="1" ht="105" outlineLevel="4">
      <c r="A459" s="1"/>
      <c r="B459" s="1">
        <v>930210</v>
      </c>
      <c r="C459" s="1" t="s">
        <v>1407</v>
      </c>
      <c r="D459" s="1"/>
      <c r="E459" s="2" t="s">
        <v>1408</v>
      </c>
      <c r="F459" s="2" t="s">
        <v>1409</v>
      </c>
      <c r="G459" s="2" t="s">
        <v>69</v>
      </c>
      <c r="H459" s="2">
        <v>0</v>
      </c>
      <c r="I459" s="1">
        <v>0</v>
      </c>
      <c r="J459" s="3" t="s">
        <v>17</v>
      </c>
      <c r="K459" s="2" t="str">
        <f>J459*193.32</f>
        <v>0</v>
      </c>
      <c r="L459" s="5"/>
    </row>
    <row r="460" spans="1:12" customHeight="1" ht="105" outlineLevel="4">
      <c r="A460" s="1"/>
      <c r="B460" s="1">
        <v>930211</v>
      </c>
      <c r="C460" s="1" t="s">
        <v>1410</v>
      </c>
      <c r="D460" s="1"/>
      <c r="E460" s="2" t="s">
        <v>1411</v>
      </c>
      <c r="F460" s="2" t="s">
        <v>1412</v>
      </c>
      <c r="G460" s="2">
        <v>0</v>
      </c>
      <c r="H460" s="2">
        <v>0</v>
      </c>
      <c r="I460" s="1">
        <v>0</v>
      </c>
      <c r="J460" s="3" t="s">
        <v>17</v>
      </c>
      <c r="K460" s="2" t="str">
        <f>J460*167.18</f>
        <v>0</v>
      </c>
      <c r="L460" s="5"/>
    </row>
    <row r="461" spans="1:12" customHeight="1" ht="105" outlineLevel="4">
      <c r="A461" s="1"/>
      <c r="B461" s="1">
        <v>930212</v>
      </c>
      <c r="C461" s="1" t="s">
        <v>1413</v>
      </c>
      <c r="D461" s="1"/>
      <c r="E461" s="2" t="s">
        <v>1414</v>
      </c>
      <c r="F461" s="2" t="s">
        <v>1415</v>
      </c>
      <c r="G461" s="2">
        <v>0</v>
      </c>
      <c r="H461" s="2">
        <v>0</v>
      </c>
      <c r="I461" s="1">
        <v>0</v>
      </c>
      <c r="J461" s="3" t="s">
        <v>17</v>
      </c>
      <c r="K461" s="2" t="str">
        <f>J461*218.38</f>
        <v>0</v>
      </c>
      <c r="L461" s="5"/>
    </row>
    <row r="462" spans="1:12" customHeight="1" ht="105" outlineLevel="4">
      <c r="A462" s="1"/>
      <c r="B462" s="1">
        <v>930384</v>
      </c>
      <c r="C462" s="1" t="s">
        <v>1416</v>
      </c>
      <c r="D462" s="1"/>
      <c r="E462" s="2" t="s">
        <v>1417</v>
      </c>
      <c r="F462" s="2" t="s">
        <v>1418</v>
      </c>
      <c r="G462" s="2" t="s">
        <v>82</v>
      </c>
      <c r="H462" s="2">
        <v>0</v>
      </c>
      <c r="I462" s="1">
        <v>0</v>
      </c>
      <c r="J462" s="3" t="s">
        <v>17</v>
      </c>
      <c r="K462" s="2" t="str">
        <f>J462*28.69</f>
        <v>0</v>
      </c>
      <c r="L462" s="5"/>
    </row>
    <row r="463" spans="1:12" customHeight="1" ht="105" outlineLevel="4">
      <c r="A463" s="1"/>
      <c r="B463" s="1">
        <v>930385</v>
      </c>
      <c r="C463" s="1" t="s">
        <v>1419</v>
      </c>
      <c r="D463" s="1"/>
      <c r="E463" s="2" t="s">
        <v>1420</v>
      </c>
      <c r="F463" s="2" t="s">
        <v>1418</v>
      </c>
      <c r="G463" s="2" t="s">
        <v>69</v>
      </c>
      <c r="H463" s="2">
        <v>0</v>
      </c>
      <c r="I463" s="1">
        <v>0</v>
      </c>
      <c r="J463" s="3" t="s">
        <v>17</v>
      </c>
      <c r="K463" s="2" t="str">
        <f>J463*28.69</f>
        <v>0</v>
      </c>
      <c r="L46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2026-04-20T20:07:49+03:00</dcterms:created>
  <dcterms:modified xsi:type="dcterms:W3CDTF">2026-04-20T20:07:49+03:00</dcterms:modified>
  <dc:title>Untitled Spreadsheet</dc:title>
  <dc:description/>
  <dc:subject/>
  <cp:keywords/>
  <cp:category/>
</cp:coreProperties>
</file>